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gdymo planai\2021\"/>
    </mc:Choice>
  </mc:AlternateContent>
  <xr:revisionPtr revIDLastSave="0" documentId="13_ncr:1_{6E2969A0-246A-4269-B21E-241B0982F9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KETA" sheetId="3" r:id="rId1"/>
  </sheets>
  <definedNames>
    <definedName name="_xlnm.Print_Area" localSheetId="0">ANKETA!$A$1:$M$85</definedName>
    <definedName name="_xlnm.Print_Titles" localSheetId="0">ANKETA!$11:$12</definedName>
  </definedNames>
  <calcPr calcId="181029"/>
  <customWorkbookViews>
    <customWorkbookView name="Spausdinimas" guid="{B2441449-ACEE-4467-9DFC-B6008FED17D1}" includeHiddenRowCol="0" maximized="1" windowWidth="1916" windowHeight="809" activeSheetId="3"/>
  </customWorkbookViews>
</workbook>
</file>

<file path=xl/calcChain.xml><?xml version="1.0" encoding="utf-8"?>
<calcChain xmlns="http://schemas.openxmlformats.org/spreadsheetml/2006/main">
  <c r="Z53" i="3" l="1"/>
  <c r="AB53" i="3" s="1"/>
  <c r="K53" i="3" s="1"/>
  <c r="V53" i="3"/>
  <c r="S53" i="3"/>
  <c r="X29" i="3"/>
  <c r="W29" i="3"/>
  <c r="Z29" i="3" s="1"/>
  <c r="S29" i="3"/>
  <c r="Y53" i="3" l="1"/>
  <c r="I53" i="3" s="1"/>
  <c r="AA53" i="3"/>
  <c r="J53" i="3" s="1"/>
  <c r="AB29" i="3"/>
  <c r="K29" i="3" s="1"/>
  <c r="Y29" i="3"/>
  <c r="I29" i="3" s="1"/>
  <c r="V29" i="3"/>
  <c r="AA29" i="3"/>
  <c r="J29" i="3" s="1"/>
  <c r="S54" i="3"/>
  <c r="Z60" i="3" l="1"/>
  <c r="AB60" i="3" s="1"/>
  <c r="K60" i="3" s="1"/>
  <c r="V60" i="3"/>
  <c r="S60" i="3"/>
  <c r="AA60" i="3" l="1"/>
  <c r="J60" i="3" s="1"/>
  <c r="Y60" i="3"/>
  <c r="I60" i="3" s="1"/>
  <c r="X30" i="3"/>
  <c r="W30" i="3"/>
  <c r="Z30" i="3" s="1"/>
  <c r="AB30" i="3" s="1"/>
  <c r="K30" i="3" s="1"/>
  <c r="S30" i="3"/>
  <c r="V30" i="3" l="1"/>
  <c r="Y30" i="3"/>
  <c r="I30" i="3" s="1"/>
  <c r="AA30" i="3"/>
  <c r="J30" i="3" s="1"/>
  <c r="Z54" i="3"/>
  <c r="AB54" i="3" s="1"/>
  <c r="K54" i="3" s="1"/>
  <c r="V54" i="3"/>
  <c r="V49" i="3"/>
  <c r="S49" i="3"/>
  <c r="X40" i="3"/>
  <c r="V40" i="3"/>
  <c r="S40" i="3"/>
  <c r="X38" i="3"/>
  <c r="V38" i="3"/>
  <c r="S38" i="3"/>
  <c r="X49" i="3" l="1"/>
  <c r="Y54" i="3"/>
  <c r="I54" i="3" s="1"/>
  <c r="AA54" i="3"/>
  <c r="J54" i="3" s="1"/>
  <c r="Z59" i="3"/>
  <c r="AB59" i="3" s="1"/>
  <c r="K59" i="3" s="1"/>
  <c r="V59" i="3"/>
  <c r="S59" i="3"/>
  <c r="Y59" i="3" l="1"/>
  <c r="I59" i="3" s="1"/>
  <c r="AA59" i="3"/>
  <c r="J59" i="3" s="1"/>
  <c r="Z55" i="3"/>
  <c r="AB55" i="3" s="1"/>
  <c r="K55" i="3" s="1"/>
  <c r="V55" i="3"/>
  <c r="S55" i="3"/>
  <c r="X34" i="3"/>
  <c r="S34" i="3"/>
  <c r="Y55" i="3" l="1"/>
  <c r="I55" i="3" s="1"/>
  <c r="AA55" i="3"/>
  <c r="J55" i="3" s="1"/>
  <c r="V50" i="3"/>
  <c r="S50" i="3"/>
  <c r="V68" i="3" l="1"/>
  <c r="O68" i="3" s="1"/>
  <c r="Z58" i="3" l="1"/>
  <c r="AB58" i="3" s="1"/>
  <c r="K58" i="3" s="1"/>
  <c r="V58" i="3"/>
  <c r="S58" i="3"/>
  <c r="X32" i="3"/>
  <c r="X33" i="3"/>
  <c r="S32" i="3"/>
  <c r="S33" i="3"/>
  <c r="D20" i="3"/>
  <c r="S20" i="3" s="1"/>
  <c r="D18" i="3"/>
  <c r="S18" i="3" s="1"/>
  <c r="D15" i="3"/>
  <c r="S15" i="3" s="1"/>
  <c r="Z66" i="3"/>
  <c r="AA66" i="3" s="1"/>
  <c r="J66" i="3" s="1"/>
  <c r="Z67" i="3"/>
  <c r="AB67" i="3" s="1"/>
  <c r="K67" i="3" s="1"/>
  <c r="Z68" i="3"/>
  <c r="X39" i="3"/>
  <c r="V39" i="3"/>
  <c r="S39" i="3"/>
  <c r="W31" i="3"/>
  <c r="Z31" i="3" s="1"/>
  <c r="W28" i="3"/>
  <c r="Z28" i="3" s="1"/>
  <c r="AA28" i="3" s="1"/>
  <c r="J28" i="3" s="1"/>
  <c r="W27" i="3"/>
  <c r="Z27" i="3" s="1"/>
  <c r="Y27" i="3" s="1"/>
  <c r="I27" i="3" s="1"/>
  <c r="W26" i="3"/>
  <c r="Z26" i="3" s="1"/>
  <c r="AA26" i="3" s="1"/>
  <c r="J26" i="3" s="1"/>
  <c r="W24" i="3"/>
  <c r="Z24" i="3" s="1"/>
  <c r="X24" i="3"/>
  <c r="S42" i="3"/>
  <c r="V42" i="3"/>
  <c r="X42" i="3"/>
  <c r="Z25" i="3"/>
  <c r="AB25" i="3" s="1"/>
  <c r="K25" i="3" s="1"/>
  <c r="X25" i="3"/>
  <c r="V25" i="3"/>
  <c r="Z20" i="3"/>
  <c r="Y20" i="3" s="1"/>
  <c r="I20" i="3" s="1"/>
  <c r="Z15" i="3"/>
  <c r="C80" i="3"/>
  <c r="S68" i="3"/>
  <c r="V67" i="3"/>
  <c r="O67" i="3" s="1"/>
  <c r="S67" i="3"/>
  <c r="V66" i="3"/>
  <c r="O66" i="3" s="1"/>
  <c r="S66" i="3"/>
  <c r="Z65" i="3"/>
  <c r="AA65" i="3" s="1"/>
  <c r="J65" i="3" s="1"/>
  <c r="V65" i="3"/>
  <c r="O65" i="3" s="1"/>
  <c r="S65" i="3"/>
  <c r="Z62" i="3"/>
  <c r="AB62" i="3" s="1"/>
  <c r="K62" i="3" s="1"/>
  <c r="V62" i="3"/>
  <c r="S62" i="3"/>
  <c r="Z61" i="3"/>
  <c r="V61" i="3"/>
  <c r="S61" i="3"/>
  <c r="Z57" i="3"/>
  <c r="AB57" i="3" s="1"/>
  <c r="K57" i="3" s="1"/>
  <c r="V57" i="3"/>
  <c r="S57" i="3"/>
  <c r="Z56" i="3"/>
  <c r="Y56" i="3" s="1"/>
  <c r="I56" i="3" s="1"/>
  <c r="V56" i="3"/>
  <c r="S56" i="3"/>
  <c r="Z52" i="3"/>
  <c r="AA52" i="3" s="1"/>
  <c r="J52" i="3" s="1"/>
  <c r="V52" i="3"/>
  <c r="S52" i="3"/>
  <c r="V51" i="3"/>
  <c r="S51" i="3"/>
  <c r="V48" i="3"/>
  <c r="S48" i="3"/>
  <c r="V47" i="3"/>
  <c r="S47" i="3"/>
  <c r="V46" i="3"/>
  <c r="S46" i="3"/>
  <c r="V45" i="3"/>
  <c r="S45" i="3"/>
  <c r="X41" i="3"/>
  <c r="V41" i="3"/>
  <c r="S41" i="3"/>
  <c r="X37" i="3"/>
  <c r="V37" i="3"/>
  <c r="S37" i="3"/>
  <c r="X31" i="3"/>
  <c r="S31" i="3"/>
  <c r="X28" i="3"/>
  <c r="S28" i="3"/>
  <c r="X27" i="3"/>
  <c r="V27" i="3" s="1"/>
  <c r="S27" i="3"/>
  <c r="X26" i="3"/>
  <c r="S26" i="3"/>
  <c r="S25" i="3"/>
  <c r="S24" i="3"/>
  <c r="Z23" i="3"/>
  <c r="Y23" i="3" s="1"/>
  <c r="I23" i="3" s="1"/>
  <c r="X23" i="3"/>
  <c r="V23" i="3"/>
  <c r="S23" i="3"/>
  <c r="Z22" i="3"/>
  <c r="AB22" i="3" s="1"/>
  <c r="K22" i="3" s="1"/>
  <c r="X22" i="3"/>
  <c r="V22" i="3"/>
  <c r="S22" i="3"/>
  <c r="Z21" i="3"/>
  <c r="AA21" i="3" s="1"/>
  <c r="J21" i="3" s="1"/>
  <c r="X21" i="3"/>
  <c r="V21" i="3"/>
  <c r="S21" i="3"/>
  <c r="V20" i="3"/>
  <c r="O20" i="3"/>
  <c r="X19" i="3"/>
  <c r="V19" i="3"/>
  <c r="S19" i="3"/>
  <c r="X18" i="3"/>
  <c r="V18" i="3"/>
  <c r="X17" i="3"/>
  <c r="S17" i="3"/>
  <c r="X16" i="3"/>
  <c r="S16" i="3"/>
  <c r="V15" i="3"/>
  <c r="O15" i="3"/>
  <c r="W14" i="3"/>
  <c r="V14" i="3" s="1"/>
  <c r="S14" i="3"/>
  <c r="W13" i="3"/>
  <c r="V13" i="3" s="1"/>
  <c r="S13" i="3"/>
  <c r="O13" i="3"/>
  <c r="AA58" i="3"/>
  <c r="J58" i="3" s="1"/>
  <c r="O32" i="3" l="1"/>
  <c r="Y67" i="3"/>
  <c r="I67" i="3" s="1"/>
  <c r="Z14" i="3"/>
  <c r="AA14" i="3" s="1"/>
  <c r="J14" i="3" s="1"/>
  <c r="X68" i="3"/>
  <c r="W49" i="3"/>
  <c r="Z49" i="3" s="1"/>
  <c r="Y49" i="3" s="1"/>
  <c r="I49" i="3" s="1"/>
  <c r="W40" i="3"/>
  <c r="Z40" i="3" s="1"/>
  <c r="W38" i="3"/>
  <c r="Z38" i="3" s="1"/>
  <c r="AA38" i="3" s="1"/>
  <c r="J38" i="3" s="1"/>
  <c r="V26" i="3"/>
  <c r="W25" i="3" s="1"/>
  <c r="O37" i="3"/>
  <c r="Y58" i="3"/>
  <c r="I58" i="3" s="1"/>
  <c r="AA23" i="3"/>
  <c r="J23" i="3" s="1"/>
  <c r="AB65" i="3"/>
  <c r="K65" i="3" s="1"/>
  <c r="Y65" i="3"/>
  <c r="I65" i="3" s="1"/>
  <c r="Y62" i="3"/>
  <c r="I62" i="3" s="1"/>
  <c r="V28" i="3"/>
  <c r="O48" i="3"/>
  <c r="AB23" i="3"/>
  <c r="K23" i="3" s="1"/>
  <c r="W41" i="3"/>
  <c r="Z41" i="3" s="1"/>
  <c r="Y41" i="3" s="1"/>
  <c r="W37" i="3"/>
  <c r="Z37" i="3" s="1"/>
  <c r="W42" i="3"/>
  <c r="Z42" i="3" s="1"/>
  <c r="W39" i="3"/>
  <c r="Z39" i="3" s="1"/>
  <c r="AA56" i="3"/>
  <c r="J56" i="3" s="1"/>
  <c r="AB56" i="3"/>
  <c r="K56" i="3" s="1"/>
  <c r="W34" i="3"/>
  <c r="Z34" i="3" s="1"/>
  <c r="O16" i="3"/>
  <c r="AB66" i="3"/>
  <c r="K66" i="3" s="1"/>
  <c r="Y25" i="3"/>
  <c r="I25" i="3" s="1"/>
  <c r="AA25" i="3"/>
  <c r="J25" i="3" s="1"/>
  <c r="Y52" i="3"/>
  <c r="I52" i="3" s="1"/>
  <c r="W22" i="3"/>
  <c r="Y66" i="3"/>
  <c r="I66" i="3" s="1"/>
  <c r="AB52" i="3"/>
  <c r="K52" i="3" s="1"/>
  <c r="AA62" i="3"/>
  <c r="J62" i="3" s="1"/>
  <c r="W16" i="3"/>
  <c r="V16" i="3" s="1"/>
  <c r="X67" i="3" s="1"/>
  <c r="AB27" i="3"/>
  <c r="K27" i="3" s="1"/>
  <c r="AA27" i="3"/>
  <c r="J27" i="3" s="1"/>
  <c r="W17" i="3"/>
  <c r="V17" i="3" s="1"/>
  <c r="X51" i="3" s="1"/>
  <c r="W45" i="3"/>
  <c r="Z46" i="3" s="1"/>
  <c r="X50" i="3"/>
  <c r="O24" i="3"/>
  <c r="W50" i="3"/>
  <c r="W51" i="3"/>
  <c r="W48" i="3"/>
  <c r="Z48" i="3" s="1"/>
  <c r="AB48" i="3" s="1"/>
  <c r="K48" i="3" s="1"/>
  <c r="W18" i="3"/>
  <c r="Z18" i="3" s="1"/>
  <c r="AB18" i="3" s="1"/>
  <c r="K18" i="3" s="1"/>
  <c r="AA20" i="3"/>
  <c r="J20" i="3" s="1"/>
  <c r="AB20" i="3"/>
  <c r="K20" i="3" s="1"/>
  <c r="X45" i="3"/>
  <c r="O45" i="3" s="1"/>
  <c r="AA67" i="3"/>
  <c r="J67" i="3" s="1"/>
  <c r="Y28" i="3"/>
  <c r="I28" i="3" s="1"/>
  <c r="V31" i="3"/>
  <c r="Y26" i="3"/>
  <c r="I26" i="3" s="1"/>
  <c r="AB26" i="3"/>
  <c r="K26" i="3" s="1"/>
  <c r="AB28" i="3"/>
  <c r="K28" i="3" s="1"/>
  <c r="O21" i="3"/>
  <c r="W19" i="3"/>
  <c r="Z19" i="3" s="1"/>
  <c r="O18" i="3"/>
  <c r="Z13" i="3"/>
  <c r="Y24" i="3"/>
  <c r="I24" i="3" s="1"/>
  <c r="AB24" i="3"/>
  <c r="K24" i="3" s="1"/>
  <c r="AA24" i="3"/>
  <c r="J24" i="3" s="1"/>
  <c r="AA68" i="3"/>
  <c r="J68" i="3" s="1"/>
  <c r="Y68" i="3"/>
  <c r="I68" i="3" s="1"/>
  <c r="AB68" i="3"/>
  <c r="K68" i="3" s="1"/>
  <c r="AB31" i="3"/>
  <c r="K31" i="3" s="1"/>
  <c r="AA31" i="3"/>
  <c r="J31" i="3" s="1"/>
  <c r="Y31" i="3"/>
  <c r="I31" i="3" s="1"/>
  <c r="W32" i="3"/>
  <c r="W33" i="3"/>
  <c r="Y61" i="3"/>
  <c r="I61" i="3" s="1"/>
  <c r="AA61" i="3"/>
  <c r="J61" i="3" s="1"/>
  <c r="V24" i="3"/>
  <c r="Y21" i="3"/>
  <c r="I21" i="3" s="1"/>
  <c r="AB21" i="3"/>
  <c r="K21" i="3" s="1"/>
  <c r="AA22" i="3"/>
  <c r="J22" i="3" s="1"/>
  <c r="Y22" i="3"/>
  <c r="I22" i="3" s="1"/>
  <c r="AA57" i="3"/>
  <c r="J57" i="3" s="1"/>
  <c r="Y57" i="3"/>
  <c r="I57" i="3" s="1"/>
  <c r="AA15" i="3"/>
  <c r="Y15" i="3"/>
  <c r="AB15" i="3"/>
  <c r="K15" i="3" s="1"/>
  <c r="AB61" i="3"/>
  <c r="K61" i="3" s="1"/>
  <c r="W21" i="3"/>
  <c r="W23" i="3"/>
  <c r="AB14" i="3" l="1"/>
  <c r="K14" i="3" s="1"/>
  <c r="Y14" i="3"/>
  <c r="I14" i="3" s="1"/>
  <c r="AA49" i="3"/>
  <c r="J49" i="3" s="1"/>
  <c r="AB49" i="3"/>
  <c r="K49" i="3" s="1"/>
  <c r="AA48" i="3"/>
  <c r="J48" i="3" s="1"/>
  <c r="AB38" i="3"/>
  <c r="K38" i="3" s="1"/>
  <c r="Y38" i="3"/>
  <c r="I38" i="3" s="1"/>
  <c r="AB40" i="3"/>
  <c r="K40" i="3" s="1"/>
  <c r="AA40" i="3"/>
  <c r="J40" i="3" s="1"/>
  <c r="Y40" i="3"/>
  <c r="I40" i="3" s="1"/>
  <c r="AA37" i="3"/>
  <c r="J37" i="3" s="1"/>
  <c r="Y37" i="3"/>
  <c r="I37" i="3" s="1"/>
  <c r="Z45" i="3"/>
  <c r="AB45" i="3" s="1"/>
  <c r="K45" i="3" s="1"/>
  <c r="Z50" i="3"/>
  <c r="AA50" i="3" s="1"/>
  <c r="J50" i="3" s="1"/>
  <c r="Z47" i="3"/>
  <c r="AA47" i="3" s="1"/>
  <c r="J47" i="3" s="1"/>
  <c r="V34" i="3"/>
  <c r="AB34" i="3"/>
  <c r="K34" i="3" s="1"/>
  <c r="AA34" i="3"/>
  <c r="J34" i="3" s="1"/>
  <c r="Y34" i="3"/>
  <c r="I34" i="3" s="1"/>
  <c r="Z17" i="3"/>
  <c r="AA17" i="3" s="1"/>
  <c r="J17" i="3" s="1"/>
  <c r="Z16" i="3"/>
  <c r="Y16" i="3" s="1"/>
  <c r="I16" i="3" s="1"/>
  <c r="X66" i="3"/>
  <c r="AA18" i="3"/>
  <c r="J18" i="3" s="1"/>
  <c r="Z51" i="3"/>
  <c r="AB51" i="3" s="1"/>
  <c r="K51" i="3" s="1"/>
  <c r="Y48" i="3"/>
  <c r="I48" i="3" s="1"/>
  <c r="Y18" i="3"/>
  <c r="I18" i="3" s="1"/>
  <c r="AB37" i="3"/>
  <c r="K37" i="3" s="1"/>
  <c r="Y19" i="3"/>
  <c r="I19" i="3" s="1"/>
  <c r="AA19" i="3"/>
  <c r="J19" i="3" s="1"/>
  <c r="AB19" i="3"/>
  <c r="K19" i="3" s="1"/>
  <c r="AA13" i="3"/>
  <c r="J13" i="3" s="1"/>
  <c r="AB13" i="3"/>
  <c r="K13" i="3" s="1"/>
  <c r="Y13" i="3"/>
  <c r="I13" i="3" s="1"/>
  <c r="I15" i="3"/>
  <c r="I41" i="3"/>
  <c r="AA41" i="3"/>
  <c r="J41" i="3" s="1"/>
  <c r="AB41" i="3"/>
  <c r="K41" i="3" s="1"/>
  <c r="AB46" i="3"/>
  <c r="K46" i="3" s="1"/>
  <c r="AA46" i="3"/>
  <c r="J46" i="3" s="1"/>
  <c r="Y46" i="3"/>
  <c r="I46" i="3" s="1"/>
  <c r="Y42" i="3"/>
  <c r="I42" i="3" s="1"/>
  <c r="AB42" i="3"/>
  <c r="K42" i="3" s="1"/>
  <c r="AA42" i="3"/>
  <c r="J42" i="3" s="1"/>
  <c r="J15" i="3"/>
  <c r="Z32" i="3"/>
  <c r="V32" i="3"/>
  <c r="AA39" i="3"/>
  <c r="J39" i="3" s="1"/>
  <c r="AB39" i="3"/>
  <c r="K39" i="3" s="1"/>
  <c r="Y39" i="3"/>
  <c r="I39" i="3" s="1"/>
  <c r="V33" i="3"/>
  <c r="Z33" i="3"/>
  <c r="AB47" i="3" l="1"/>
  <c r="K47" i="3" s="1"/>
  <c r="Y47" i="3"/>
  <c r="I47" i="3" s="1"/>
  <c r="Y45" i="3"/>
  <c r="I45" i="3" s="1"/>
  <c r="Y17" i="3"/>
  <c r="I17" i="3" s="1"/>
  <c r="AA45" i="3"/>
  <c r="J45" i="3" s="1"/>
  <c r="Y50" i="3"/>
  <c r="I50" i="3" s="1"/>
  <c r="AB50" i="3"/>
  <c r="K50" i="3" s="1"/>
  <c r="AB17" i="3"/>
  <c r="K17" i="3" s="1"/>
  <c r="AA16" i="3"/>
  <c r="J16" i="3" s="1"/>
  <c r="AB16" i="3"/>
  <c r="K16" i="3" s="1"/>
  <c r="AA51" i="3"/>
  <c r="J51" i="3" s="1"/>
  <c r="Y51" i="3"/>
  <c r="I51" i="3" s="1"/>
  <c r="AA33" i="3"/>
  <c r="J33" i="3" s="1"/>
  <c r="Y33" i="3"/>
  <c r="I33" i="3" s="1"/>
  <c r="AB33" i="3"/>
  <c r="K33" i="3" s="1"/>
  <c r="AA32" i="3"/>
  <c r="AB32" i="3"/>
  <c r="K32" i="3" s="1"/>
  <c r="Y32" i="3"/>
  <c r="D78" i="3" l="1"/>
  <c r="D76" i="3"/>
  <c r="J32" i="3"/>
  <c r="T72" i="3"/>
  <c r="I32" i="3"/>
  <c r="T70" i="3"/>
  <c r="T74" i="3"/>
  <c r="D70" i="3" l="1"/>
  <c r="E70" i="3" s="1"/>
  <c r="P3" i="3"/>
  <c r="Q3" i="3" s="1"/>
  <c r="D72" i="3"/>
  <c r="E72" i="3" s="1"/>
  <c r="P5" i="3"/>
  <c r="Q5" i="3" s="1"/>
  <c r="D74" i="3"/>
  <c r="E74" i="3" s="1"/>
  <c r="P7" i="3"/>
  <c r="Q7" i="3" s="1"/>
</calcChain>
</file>

<file path=xl/sharedStrings.xml><?xml version="1.0" encoding="utf-8"?>
<sst xmlns="http://schemas.openxmlformats.org/spreadsheetml/2006/main" count="130" uniqueCount="103">
  <si>
    <t>Iš viso dalykų:</t>
  </si>
  <si>
    <t>Vardas</t>
  </si>
  <si>
    <t>Pavardė</t>
  </si>
  <si>
    <t>Pamokų skaičius III klasėje:</t>
  </si>
  <si>
    <t>Tel. Nr.</t>
  </si>
  <si>
    <t>Pamokų skaičius IV klasėje: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</si>
  <si>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</si>
  <si>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Eil. Nr.</t>
  </si>
  <si>
    <t>Dalykų grupė</t>
  </si>
  <si>
    <t>Dalykas</t>
  </si>
  <si>
    <t>Keitimai IV kl. I pusm.</t>
  </si>
  <si>
    <t>Keitimai III kl. II pusm.</t>
  </si>
  <si>
    <t>Keitimai III kl. I pusm.</t>
  </si>
  <si>
    <t>Kursas</t>
  </si>
  <si>
    <t>Pamokų skaičius</t>
  </si>
  <si>
    <r>
      <t>Bendra-sis kursas</t>
    </r>
    <r>
      <rPr>
        <b/>
        <sz val="10"/>
        <rFont val="Times New Roman"/>
        <family val="1"/>
        <charset val="186"/>
      </rPr>
      <t xml:space="preserve"> (B)</t>
    </r>
  </si>
  <si>
    <r>
      <t>Išplės-tinis kursas</t>
    </r>
    <r>
      <rPr>
        <b/>
        <sz val="10"/>
        <rFont val="Times New Roman"/>
        <family val="1"/>
        <charset val="186"/>
      </rPr>
      <t xml:space="preserve"> (A)</t>
    </r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</si>
  <si>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</si>
  <si>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</si>
  <si>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</si>
  <si>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</si>
  <si>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</si>
  <si>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</si>
  <si>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</si>
  <si>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</si>
  <si>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III kl.</t>
  </si>
  <si>
    <t>IV kl.</t>
  </si>
  <si>
    <t>B R A N D U O L I O   D A L Y K A I</t>
  </si>
  <si>
    <t>Dorinis ugdymas</t>
  </si>
  <si>
    <t>Tikyba</t>
  </si>
  <si>
    <t>–</t>
  </si>
  <si>
    <t>Etika</t>
  </si>
  <si>
    <r>
      <t>Gimtoji k.</t>
    </r>
    <r>
      <rPr>
        <sz val="10"/>
        <rFont val="Times New Roman"/>
        <family val="1"/>
        <charset val="186"/>
      </rPr>
      <t xml:space="preserve"> </t>
    </r>
  </si>
  <si>
    <t>Užsienio kalba (I)</t>
  </si>
  <si>
    <r>
      <t>Visuomenės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mokslai</t>
    </r>
  </si>
  <si>
    <t>Geografija</t>
  </si>
  <si>
    <t>Matematika</t>
  </si>
  <si>
    <t>Gamtos mokslai</t>
  </si>
  <si>
    <t>Biologija</t>
  </si>
  <si>
    <t>Chemija</t>
  </si>
  <si>
    <t>Fizika</t>
  </si>
  <si>
    <t>Menai ir technologijos</t>
  </si>
  <si>
    <t>Dailė</t>
  </si>
  <si>
    <t>Muzika</t>
  </si>
  <si>
    <t>Teatras</t>
  </si>
  <si>
    <t>Filmų kūrimas</t>
  </si>
  <si>
    <t>Šokis</t>
  </si>
  <si>
    <t>Turizmas ir mityba</t>
  </si>
  <si>
    <t>Kūno kultūra</t>
  </si>
  <si>
    <t>Bendroji kūno kultūra</t>
  </si>
  <si>
    <r>
      <t>PASIRENKAMIEJI DALYKAI</t>
    </r>
    <r>
      <rPr>
        <sz val="11"/>
        <rFont val="Times New Roman"/>
        <family val="1"/>
        <charset val="186"/>
      </rPr>
      <t>, įskaičiuojami į dalykų ir pamokų skaičių</t>
    </r>
  </si>
  <si>
    <t>Užsienio kalba (II)</t>
  </si>
  <si>
    <t>Informacinės technologijos</t>
  </si>
  <si>
    <t>IT (elektroninė leidyba)</t>
  </si>
  <si>
    <t>`</t>
  </si>
  <si>
    <t>Braižyba</t>
  </si>
  <si>
    <t>Psichologija</t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</si>
  <si>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</si>
  <si>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Pamokų skaičius
 III klasėje:</t>
  </si>
  <si>
    <t>Pamokų skaičius
IV klasėje:</t>
  </si>
  <si>
    <t>A kursu (išplėstiniu):</t>
  </si>
  <si>
    <t>B kursu (bendruoju):</t>
  </si>
  <si>
    <t>Data</t>
  </si>
  <si>
    <t>Mokinio parašas</t>
  </si>
  <si>
    <t>Tėvų parašas</t>
  </si>
  <si>
    <t>*Keitimų stulpeliai pildomi, jei mokinys, pasibaigus pusmečiui, keičia individualų ugdymo planą.</t>
  </si>
  <si>
    <t>Klaipėdos „Varpo“ gimnazija</t>
  </si>
  <si>
    <t>Klasė</t>
  </si>
  <si>
    <t>Anglų kalba (B1)</t>
  </si>
  <si>
    <t>Grafinis dizainas</t>
  </si>
  <si>
    <t>Prancūzų kalba (B1)</t>
  </si>
  <si>
    <t>Rusų kalba (B1)</t>
  </si>
  <si>
    <t>Vokiečių kalba (B1)</t>
  </si>
  <si>
    <t>Ekonomika</t>
  </si>
  <si>
    <t>Sociologija</t>
  </si>
  <si>
    <t>Žmogaus biologija</t>
  </si>
  <si>
    <t>Rusų kalba (B2)</t>
  </si>
  <si>
    <t>Anglų kalba (B2)+Kalbos įgūdžių lavinimo modulis</t>
  </si>
  <si>
    <t>Užsienio kalba pradedantiesiems</t>
  </si>
  <si>
    <t>Tinklinis</t>
  </si>
  <si>
    <t>Tekstinių uždavinių sprendimo metodika</t>
  </si>
  <si>
    <t>Aerobika</t>
  </si>
  <si>
    <t>Prancūzų kalba (B2)</t>
  </si>
  <si>
    <t>Vokiečių kalba (B2)</t>
  </si>
  <si>
    <t>IT (programavimas C++)</t>
  </si>
  <si>
    <t>Garso inžinerija</t>
  </si>
  <si>
    <t>Ispanų kalba (A1)</t>
  </si>
  <si>
    <t>Prancūzų kalba (A1)</t>
  </si>
  <si>
    <t>Rusų kalba (A1)</t>
  </si>
  <si>
    <t>Vokiečių kalba (A1)</t>
  </si>
  <si>
    <t>Floristika</t>
  </si>
  <si>
    <t>Krašto gynyba</t>
  </si>
  <si>
    <t>Vairavimo teorija</t>
  </si>
  <si>
    <t>Mechanika</t>
  </si>
  <si>
    <t>Įrašyti planuijamą studijų kryptį -&gt;</t>
  </si>
  <si>
    <t>Studijų kryptys:</t>
  </si>
  <si>
    <t>1. Humanitarinis
2. Socialinių mokslų
3. Biomedicinos
4. Fizinių mokslų
5. Technologijos
6. Menų</t>
  </si>
  <si>
    <t>2021–2023 m. m. individualus ugdymo planas (III–IV kl.)</t>
  </si>
  <si>
    <t>Medijų ir visuomenė</t>
  </si>
  <si>
    <t>Finansinis raštingumas</t>
  </si>
  <si>
    <t>Fizikos uždavinių sprendimo būdai ir metodai</t>
  </si>
  <si>
    <t>Eksperimentinių uždavinių sprndimas</t>
  </si>
  <si>
    <t>Pasiruošimas tarptautiniam anglų kalbos egzaminui (IELTS)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</si>
</sst>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2" x14ac:knownFonts="1">
    <font>
      <sz val="12"/>
      <color theme="1"/>
      <name val="Times New Roman"/>
      <family val="2"/>
      <charset val="186"/>
    </font>
    <font>
      <sz val="14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Wingdings 2"/>
      <family val="1"/>
      <charset val="2"/>
    </font>
    <font>
      <b/>
      <sz val="9"/>
      <name val="Times New Roman"/>
      <family val="1"/>
      <charset val="186"/>
    </font>
    <font>
      <b/>
      <sz val="9"/>
      <color indexed="10"/>
      <name val="Arial"/>
      <family val="2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b/>
      <sz val="7"/>
      <color indexed="10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rgb="FF3C25E7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3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0" fillId="2" borderId="2" xfId="0" applyFill="1" applyBorder="1"/>
  </cellXfs>
  <cellStyles count="1">
    <cellStyle name="Įprastas" xfId="0" builtinId="0"/>
  </cellStyles>
  <dxfs count="78"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rgb="FFCCFFFF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3C2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52" lockText="1" noThreeD="1"/>
</file>

<file path=xl/ctrlProps/ctrlProp10.xml><?xml version="1.0" encoding="utf-8"?>
<formControlPr xmlns="http://schemas.microsoft.com/office/spreadsheetml/2009/9/main" objectType="CheckBox" fmlaLink="$T$65" lockText="1" noThreeD="1"/>
</file>

<file path=xl/ctrlProps/ctrlProp11.xml><?xml version="1.0" encoding="utf-8"?>
<formControlPr xmlns="http://schemas.microsoft.com/office/spreadsheetml/2009/9/main" objectType="CheckBox" fmlaLink="$T$67" lockText="1" noThreeD="1"/>
</file>

<file path=xl/ctrlProps/ctrlProp12.xml><?xml version="1.0" encoding="utf-8"?>
<formControlPr xmlns="http://schemas.microsoft.com/office/spreadsheetml/2009/9/main" objectType="CheckBox" fmlaLink="$T$68" lockText="1" noThreeD="1"/>
</file>

<file path=xl/ctrlProps/ctrlProp13.xml><?xml version="1.0" encoding="utf-8"?>
<formControlPr xmlns="http://schemas.microsoft.com/office/spreadsheetml/2009/9/main" objectType="CheckBox" fmlaLink="$T$33" lockText="1" noThreeD="1"/>
</file>

<file path=xl/ctrlProps/ctrlProp14.xml><?xml version="1.0" encoding="utf-8"?>
<formControlPr xmlns="http://schemas.microsoft.com/office/spreadsheetml/2009/9/main" objectType="CheckBox" fmlaLink="$T$32" lockText="1" noThreeD="1"/>
</file>

<file path=xl/ctrlProps/ctrlProp15.xml><?xml version="1.0" encoding="utf-8"?>
<formControlPr xmlns="http://schemas.microsoft.com/office/spreadsheetml/2009/9/main" objectType="CheckBox" fmlaLink="$U$37" lockText="1" noThreeD="1"/>
</file>

<file path=xl/ctrlProps/ctrlProp16.xml><?xml version="1.0" encoding="utf-8"?>
<formControlPr xmlns="http://schemas.microsoft.com/office/spreadsheetml/2009/9/main" objectType="CheckBox" fmlaLink="$U$41" lockText="1" noThreeD="1"/>
</file>

<file path=xl/ctrlProps/ctrlProp17.xml><?xml version="1.0" encoding="utf-8"?>
<formControlPr xmlns="http://schemas.microsoft.com/office/spreadsheetml/2009/9/main" objectType="CheckBox" fmlaLink="$U$42" lockText="1" noThreeD="1"/>
</file>

<file path=xl/ctrlProps/ctrlProp18.xml><?xml version="1.0" encoding="utf-8"?>
<formControlPr xmlns="http://schemas.microsoft.com/office/spreadsheetml/2009/9/main" objectType="CheckBox" fmlaLink="$U$39" lockText="1" noThreeD="1"/>
</file>

<file path=xl/ctrlProps/ctrlProp19.xml><?xml version="1.0" encoding="utf-8"?>
<formControlPr xmlns="http://schemas.microsoft.com/office/spreadsheetml/2009/9/main" objectType="CheckBox" fmlaLink="$T$45" lockText="1" noThreeD="1"/>
</file>

<file path=xl/ctrlProps/ctrlProp2.xml><?xml version="1.0" encoding="utf-8"?>
<formControlPr xmlns="http://schemas.microsoft.com/office/spreadsheetml/2009/9/main" objectType="CheckBox" fmlaLink="$T$61" lockText="1" noThreeD="1"/>
</file>

<file path=xl/ctrlProps/ctrlProp20.xml><?xml version="1.0" encoding="utf-8"?>
<formControlPr xmlns="http://schemas.microsoft.com/office/spreadsheetml/2009/9/main" objectType="CheckBox" fmlaLink="$U$46" lockText="1" noThreeD="1"/>
</file>

<file path=xl/ctrlProps/ctrlProp21.xml><?xml version="1.0" encoding="utf-8"?>
<formControlPr xmlns="http://schemas.microsoft.com/office/spreadsheetml/2009/9/main" objectType="CheckBox" fmlaLink="$T$24" lockText="1" noThreeD="1"/>
</file>

<file path=xl/ctrlProps/ctrlProp22.xml><?xml version="1.0" encoding="utf-8"?>
<formControlPr xmlns="http://schemas.microsoft.com/office/spreadsheetml/2009/9/main" objectType="CheckBox" fmlaLink="$T$25" lockText="1" noThreeD="1"/>
</file>

<file path=xl/ctrlProps/ctrlProp23.xml><?xml version="1.0" encoding="utf-8"?>
<formControlPr xmlns="http://schemas.microsoft.com/office/spreadsheetml/2009/9/main" objectType="CheckBox" fmlaLink="$T$28" lockText="1" noThreeD="1"/>
</file>

<file path=xl/ctrlProps/ctrlProp24.xml><?xml version="1.0" encoding="utf-8"?>
<formControlPr xmlns="http://schemas.microsoft.com/office/spreadsheetml/2009/9/main" objectType="CheckBox" fmlaLink="$T$26" lockText="1" noThreeD="1"/>
</file>

<file path=xl/ctrlProps/ctrlProp25.xml><?xml version="1.0" encoding="utf-8"?>
<formControlPr xmlns="http://schemas.microsoft.com/office/spreadsheetml/2009/9/main" objectType="CheckBox" fmlaLink="$T$27" lockText="1" noThreeD="1"/>
</file>

<file path=xl/ctrlProps/ctrlProp26.xml><?xml version="1.0" encoding="utf-8"?>
<formControlPr xmlns="http://schemas.microsoft.com/office/spreadsheetml/2009/9/main" objectType="CheckBox" fmlaLink="$T$31" lockText="1" noThreeD="1"/>
</file>

<file path=xl/ctrlProps/ctrlProp27.xml><?xml version="1.0" encoding="utf-8"?>
<formControlPr xmlns="http://schemas.microsoft.com/office/spreadsheetml/2009/9/main" objectType="CheckBox" fmlaLink="$T$23" lockText="1" noThreeD="1"/>
</file>

<file path=xl/ctrlProps/ctrlProp28.xml><?xml version="1.0" encoding="utf-8"?>
<formControlPr xmlns="http://schemas.microsoft.com/office/spreadsheetml/2009/9/main" objectType="CheckBox" fmlaLink="$U$23" lockText="1" noThreeD="1"/>
</file>

<file path=xl/ctrlProps/ctrlProp29.xml><?xml version="1.0" encoding="utf-8"?>
<formControlPr xmlns="http://schemas.microsoft.com/office/spreadsheetml/2009/9/main" objectType="CheckBox" fmlaLink="$T$22" lockText="1" noThreeD="1"/>
</file>

<file path=xl/ctrlProps/ctrlProp3.xml><?xml version="1.0" encoding="utf-8"?>
<formControlPr xmlns="http://schemas.microsoft.com/office/spreadsheetml/2009/9/main" objectType="CheckBox" fmlaLink="$T$62" lockText="1" noThreeD="1"/>
</file>

<file path=xl/ctrlProps/ctrlProp30.xml><?xml version="1.0" encoding="utf-8"?>
<formControlPr xmlns="http://schemas.microsoft.com/office/spreadsheetml/2009/9/main" objectType="CheckBox" fmlaLink="$U$22" lockText="1" noThreeD="1"/>
</file>

<file path=xl/ctrlProps/ctrlProp31.xml><?xml version="1.0" encoding="utf-8"?>
<formControlPr xmlns="http://schemas.microsoft.com/office/spreadsheetml/2009/9/main" objectType="CheckBox" fmlaLink="$T$20" lockText="1" noThreeD="1"/>
</file>

<file path=xl/ctrlProps/ctrlProp32.xml><?xml version="1.0" encoding="utf-8"?>
<formControlPr xmlns="http://schemas.microsoft.com/office/spreadsheetml/2009/9/main" objectType="CheckBox" fmlaLink="$U$20" lockText="1" noThreeD="1"/>
</file>

<file path=xl/ctrlProps/ctrlProp33.xml><?xml version="1.0" encoding="utf-8"?>
<formControlPr xmlns="http://schemas.microsoft.com/office/spreadsheetml/2009/9/main" objectType="CheckBox" fmlaLink="$T$21" lockText="1" noThreeD="1"/>
</file>

<file path=xl/ctrlProps/ctrlProp34.xml><?xml version="1.0" encoding="utf-8"?>
<formControlPr xmlns="http://schemas.microsoft.com/office/spreadsheetml/2009/9/main" objectType="CheckBox" fmlaLink="$U$21" lockText="1" noThreeD="1"/>
</file>

<file path=xl/ctrlProps/ctrlProp35.xml><?xml version="1.0" encoding="utf-8"?>
<formControlPr xmlns="http://schemas.microsoft.com/office/spreadsheetml/2009/9/main" objectType="CheckBox" fmlaLink="$T$19" lockText="1" noThreeD="1"/>
</file>

<file path=xl/ctrlProps/ctrlProp36.xml><?xml version="1.0" encoding="utf-8"?>
<formControlPr xmlns="http://schemas.microsoft.com/office/spreadsheetml/2009/9/main" objectType="CheckBox" fmlaLink="$U$19" lockText="1" noThreeD="1"/>
</file>

<file path=xl/ctrlProps/ctrlProp37.xml><?xml version="1.0" encoding="utf-8"?>
<formControlPr xmlns="http://schemas.microsoft.com/office/spreadsheetml/2009/9/main" objectType="CheckBox" fmlaLink="$T$18" lockText="1" noThreeD="1"/>
</file>

<file path=xl/ctrlProps/ctrlProp38.xml><?xml version="1.0" encoding="utf-8"?>
<formControlPr xmlns="http://schemas.microsoft.com/office/spreadsheetml/2009/9/main" objectType="CheckBox" fmlaLink="$U$18" lockText="1" noThreeD="1"/>
</file>

<file path=xl/ctrlProps/ctrlProp39.xml><?xml version="1.0" encoding="utf-8"?>
<formControlPr xmlns="http://schemas.microsoft.com/office/spreadsheetml/2009/9/main" objectType="CheckBox" fmlaLink="$U$16" lockText="1" noThreeD="1"/>
</file>

<file path=xl/ctrlProps/ctrlProp4.xml><?xml version="1.0" encoding="utf-8"?>
<formControlPr xmlns="http://schemas.microsoft.com/office/spreadsheetml/2009/9/main" objectType="CheckBox" fmlaLink="$T$48" lockText="1" noThreeD="1"/>
</file>

<file path=xl/ctrlProps/ctrlProp40.xml><?xml version="1.0" encoding="utf-8"?>
<formControlPr xmlns="http://schemas.microsoft.com/office/spreadsheetml/2009/9/main" objectType="CheckBox" fmlaLink="$U$17" lockText="1" noThreeD="1"/>
</file>

<file path=xl/ctrlProps/ctrlProp41.xml><?xml version="1.0" encoding="utf-8"?>
<formControlPr xmlns="http://schemas.microsoft.com/office/spreadsheetml/2009/9/main" objectType="CheckBox" fmlaLink="$T$13" lockText="1" noThreeD="1"/>
</file>

<file path=xl/ctrlProps/ctrlProp42.xml><?xml version="1.0" encoding="utf-8"?>
<formControlPr xmlns="http://schemas.microsoft.com/office/spreadsheetml/2009/9/main" objectType="CheckBox" fmlaLink="$T$14" lockText="1" noThreeD="1"/>
</file>

<file path=xl/ctrlProps/ctrlProp43.xml><?xml version="1.0" encoding="utf-8"?>
<formControlPr xmlns="http://schemas.microsoft.com/office/spreadsheetml/2009/9/main" objectType="CheckBox" fmlaLink="$T$15" lockText="1" noThreeD="1"/>
</file>

<file path=xl/ctrlProps/ctrlProp44.xml><?xml version="1.0" encoding="utf-8"?>
<formControlPr xmlns="http://schemas.microsoft.com/office/spreadsheetml/2009/9/main" objectType="CheckBox" fmlaLink="$U$15" lockText="1" noThreeD="1"/>
</file>

<file path=xl/ctrlProps/ctrlProp45.xml><?xml version="1.0" encoding="utf-8"?>
<formControlPr xmlns="http://schemas.microsoft.com/office/spreadsheetml/2009/9/main" objectType="CheckBox" fmlaLink="$T$50" lockText="1" noThreeD="1"/>
</file>

<file path=xl/ctrlProps/ctrlProp46.xml><?xml version="1.0" encoding="utf-8"?>
<formControlPr xmlns="http://schemas.microsoft.com/office/spreadsheetml/2009/9/main" objectType="CheckBox" fmlaLink="$T$34" lockText="1" noThreeD="1"/>
</file>

<file path=xl/ctrlProps/ctrlProp47.xml><?xml version="1.0" encoding="utf-8"?>
<formControlPr xmlns="http://schemas.microsoft.com/office/spreadsheetml/2009/9/main" objectType="CheckBox" fmlaLink="$T$55" lockText="1" noThreeD="1"/>
</file>

<file path=xl/ctrlProps/ctrlProp48.xml><?xml version="1.0" encoding="utf-8"?>
<formControlPr xmlns="http://schemas.microsoft.com/office/spreadsheetml/2009/9/main" objectType="CheckBox" fmlaLink="$T$59" lockText="1" noThreeD="1"/>
</file>

<file path=xl/ctrlProps/ctrlProp49.xml><?xml version="1.0" encoding="utf-8"?>
<formControlPr xmlns="http://schemas.microsoft.com/office/spreadsheetml/2009/9/main" objectType="CheckBox" fmlaLink="$U$38" lockText="1" noThreeD="1"/>
</file>

<file path=xl/ctrlProps/ctrlProp5.xml><?xml version="1.0" encoding="utf-8"?>
<formControlPr xmlns="http://schemas.microsoft.com/office/spreadsheetml/2009/9/main" objectType="CheckBox" fmlaLink="$T$51" lockText="1" noThreeD="1"/>
</file>

<file path=xl/ctrlProps/ctrlProp50.xml><?xml version="1.0" encoding="utf-8"?>
<formControlPr xmlns="http://schemas.microsoft.com/office/spreadsheetml/2009/9/main" objectType="CheckBox" fmlaLink="$U$40" lockText="1" noThreeD="1"/>
</file>

<file path=xl/ctrlProps/ctrlProp51.xml><?xml version="1.0" encoding="utf-8"?>
<formControlPr xmlns="http://schemas.microsoft.com/office/spreadsheetml/2009/9/main" objectType="CheckBox" fmlaLink="$T$49" lockText="1" noThreeD="1"/>
</file>

<file path=xl/ctrlProps/ctrlProp52.xml><?xml version="1.0" encoding="utf-8"?>
<formControlPr xmlns="http://schemas.microsoft.com/office/spreadsheetml/2009/9/main" objectType="CheckBox" fmlaLink="$T$54" lockText="1" noThreeD="1"/>
</file>

<file path=xl/ctrlProps/ctrlProp53.xml><?xml version="1.0" encoding="utf-8"?>
<formControlPr xmlns="http://schemas.microsoft.com/office/spreadsheetml/2009/9/main" objectType="CheckBox" fmlaLink="$T$30" lockText="1" noThreeD="1"/>
</file>

<file path=xl/ctrlProps/ctrlProp54.xml><?xml version="1.0" encoding="utf-8"?>
<formControlPr xmlns="http://schemas.microsoft.com/office/spreadsheetml/2009/9/main" objectType="CheckBox" fmlaLink="$T$61" lockText="1" noThreeD="1"/>
</file>

<file path=xl/ctrlProps/ctrlProp55.xml><?xml version="1.0" encoding="utf-8"?>
<formControlPr xmlns="http://schemas.microsoft.com/office/spreadsheetml/2009/9/main" objectType="CheckBox" fmlaLink="$T$60" lockText="1" noThreeD="1"/>
</file>

<file path=xl/ctrlProps/ctrlProp56.xml><?xml version="1.0" encoding="utf-8"?>
<formControlPr xmlns="http://schemas.microsoft.com/office/spreadsheetml/2009/9/main" objectType="CheckBox" fmlaLink="$T$29" lockText="1" noThreeD="1"/>
</file>

<file path=xl/ctrlProps/ctrlProp57.xml><?xml version="1.0" encoding="utf-8"?>
<formControlPr xmlns="http://schemas.microsoft.com/office/spreadsheetml/2009/9/main" objectType="CheckBox" fmlaLink="$T$53" lockText="1" noThreeD="1"/>
</file>

<file path=xl/ctrlProps/ctrlProp6.xml><?xml version="1.0" encoding="utf-8"?>
<formControlPr xmlns="http://schemas.microsoft.com/office/spreadsheetml/2009/9/main" objectType="CheckBox" fmlaLink="$T$56" lockText="1" noThreeD="1"/>
</file>

<file path=xl/ctrlProps/ctrlProp7.xml><?xml version="1.0" encoding="utf-8"?>
<formControlPr xmlns="http://schemas.microsoft.com/office/spreadsheetml/2009/9/main" objectType="CheckBox" fmlaLink="$T$57" lockText="1" noThreeD="1"/>
</file>

<file path=xl/ctrlProps/ctrlProp8.xml><?xml version="1.0" encoding="utf-8"?>
<formControlPr xmlns="http://schemas.microsoft.com/office/spreadsheetml/2009/9/main" objectType="CheckBox" fmlaLink="$T$58" lockText="1" noThreeD="1"/>
</file>

<file path=xl/ctrlProps/ctrlProp9.xml><?xml version="1.0" encoding="utf-8"?>
<formControlPr xmlns="http://schemas.microsoft.com/office/spreadsheetml/2009/9/main" objectType="CheckBox" fmlaLink="$T$6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154296</xdr:colOff>
          <xdr:row>12</xdr:row>
          <xdr:rowOff>2543</xdr:rowOff>
        </xdr:from>
        <xdr:to>
          <xdr:col>12</xdr:col>
          <xdr:colOff>332105</xdr:colOff>
          <xdr:row>16</xdr:row>
          <xdr:rowOff>193290</xdr:rowOff>
        </xdr:to>
        <xdr:grpSp>
          <xdr:nvGrpSpPr>
            <xdr:cNvPr id="6" name="Grupė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899776" y="2532383"/>
              <a:ext cx="650249" cy="1333747"/>
              <a:chOff x="5899776" y="2532383"/>
              <a:chExt cx="650249" cy="1333747"/>
            </a:xfrm>
          </xdr:grpSpPr>
          <xdr:grpSp>
            <xdr:nvGrpSpPr>
              <xdr:cNvPr id="1307" name="Grupė 1">
                <a:extLst>
                  <a:ext uri="{FF2B5EF4-FFF2-40B4-BE49-F238E27FC236}">
                    <a16:creationId xmlns:a16="http://schemas.microsoft.com/office/drawing/2014/main" id="{00000000-0008-0000-0000-00001B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899776" y="2532383"/>
                <a:ext cx="650249" cy="749348"/>
                <a:chOff x="5362575" y="2514605"/>
                <a:chExt cx="647710" cy="691778"/>
              </a:xfrm>
            </xdr:grpSpPr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5362575" y="2514605"/>
                  <a:ext cx="169393" cy="17205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5362575" y="2775434"/>
                  <a:ext cx="169393" cy="1720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  <a:ext uri="{FF2B5EF4-FFF2-40B4-BE49-F238E27FC236}">
                      <a16:creationId xmlns:a16="http://schemas.microsoft.com/office/drawing/2014/main" id="{00000000-0008-0000-0000-000004040000}"/>
                    </a:ext>
                  </a:extLst>
                </xdr:cNvPr>
                <xdr:cNvSpPr/>
              </xdr:nvSpPr>
              <xdr:spPr bwMode="auto">
                <a:xfrm>
                  <a:off x="5362575" y="3037315"/>
                  <a:ext cx="169393" cy="1690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  <a:ext uri="{FF2B5EF4-FFF2-40B4-BE49-F238E27FC236}">
                      <a16:creationId xmlns:a16="http://schemas.microsoft.com/office/drawing/2014/main" id="{00000000-0008-0000-0000-000005040000}"/>
                    </a:ext>
                  </a:extLst>
                </xdr:cNvPr>
                <xdr:cNvSpPr/>
              </xdr:nvSpPr>
              <xdr:spPr bwMode="auto">
                <a:xfrm>
                  <a:off x="5831482" y="3033409"/>
                  <a:ext cx="178803" cy="1720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" name="Grupė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108709" y="3422556"/>
                <a:ext cx="174164" cy="443574"/>
                <a:chOff x="5964929" y="3193066"/>
                <a:chExt cx="173484" cy="441613"/>
              </a:xfrm>
            </xdr:grpSpPr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00000000-0008-0000-0000-000007040000}"/>
                    </a:ext>
                  </a:extLst>
                </xdr:cNvPr>
                <xdr:cNvSpPr/>
              </xdr:nvSpPr>
              <xdr:spPr bwMode="auto">
                <a:xfrm>
                  <a:off x="5964929" y="3193066"/>
                  <a:ext cx="173484" cy="1855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2" name="Check Box 8" hidden="1">
                  <a:extLst>
                    <a:ext uri="{63B3BB69-23CF-44E3-9099-C40C66FF867C}">
                      <a14:compatExt spid="_x0000_s1032"/>
                    </a:ext>
                    <a:ext uri="{FF2B5EF4-FFF2-40B4-BE49-F238E27FC236}">
                      <a16:creationId xmlns:a16="http://schemas.microsoft.com/office/drawing/2014/main" id="{00000000-0008-0000-0000-000008040000}"/>
                    </a:ext>
                  </a:extLst>
                </xdr:cNvPr>
                <xdr:cNvSpPr/>
              </xdr:nvSpPr>
              <xdr:spPr bwMode="auto">
                <a:xfrm>
                  <a:off x="5964929" y="3436754"/>
                  <a:ext cx="173484" cy="1979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144769</xdr:colOff>
          <xdr:row>17</xdr:row>
          <xdr:rowOff>61901</xdr:rowOff>
        </xdr:from>
        <xdr:to>
          <xdr:col>12</xdr:col>
          <xdr:colOff>332115</xdr:colOff>
          <xdr:row>22</xdr:row>
          <xdr:rowOff>207639</xdr:rowOff>
        </xdr:to>
        <xdr:grpSp>
          <xdr:nvGrpSpPr>
            <xdr:cNvPr id="1292" name="Grupė 17">
              <a:extLs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90249" y="3970961"/>
              <a:ext cx="659786" cy="1410658"/>
              <a:chOff x="5600689" y="4210039"/>
              <a:chExt cx="657246" cy="1428757"/>
            </a:xfrm>
          </xdr:grpSpPr>
          <xdr:grpSp>
            <xdr:nvGrpSpPr>
              <xdr:cNvPr id="1301" name="Grupė 16">
                <a:extLst>
                  <a:ext uri="{FF2B5EF4-FFF2-40B4-BE49-F238E27FC236}">
                    <a16:creationId xmlns:a16="http://schemas.microsoft.com/office/drawing/2014/main" id="{00000000-0008-0000-0000-000015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00689" y="4210039"/>
                <a:ext cx="657246" cy="183998"/>
                <a:chOff x="5600689" y="4162414"/>
                <a:chExt cx="657246" cy="183998"/>
              </a:xfrm>
            </xdr:grpSpPr>
            <xdr:sp macro="" textlink="">
              <xdr:nvSpPr>
                <xdr:cNvPr id="1033" name="Check Box 9" hidden="1">
                  <a:extLst>
                    <a:ext uri="{63B3BB69-23CF-44E3-9099-C40C66FF867C}">
                      <a14:compatExt spid="_x0000_s1033"/>
                    </a:ext>
                    <a:ext uri="{FF2B5EF4-FFF2-40B4-BE49-F238E27FC236}">
                      <a16:creationId xmlns:a16="http://schemas.microsoft.com/office/drawing/2014/main" id="{00000000-0008-0000-0000-000009040000}"/>
                    </a:ext>
                  </a:extLst>
                </xdr:cNvPr>
                <xdr:cNvSpPr/>
              </xdr:nvSpPr>
              <xdr:spPr bwMode="auto">
                <a:xfrm>
                  <a:off x="5600689" y="4174009"/>
                  <a:ext cx="180975" cy="1724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000-00000F040000}"/>
                    </a:ext>
                  </a:extLst>
                </xdr:cNvPr>
                <xdr:cNvSpPr/>
              </xdr:nvSpPr>
              <xdr:spPr bwMode="auto">
                <a:xfrm>
                  <a:off x="6076960" y="4162414"/>
                  <a:ext cx="180975" cy="17551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02" name="Grupė 15">
                <a:extLst>
                  <a:ext uri="{FF2B5EF4-FFF2-40B4-BE49-F238E27FC236}">
                    <a16:creationId xmlns:a16="http://schemas.microsoft.com/office/drawing/2014/main" id="{00000000-0008-0000-0000-000016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00689" y="4504881"/>
                <a:ext cx="657246" cy="185929"/>
                <a:chOff x="5600689" y="4400106"/>
                <a:chExt cx="657246" cy="185929"/>
              </a:xfrm>
            </xdr:grpSpPr>
            <xdr:sp macro="" textlink="">
              <xdr:nvSpPr>
                <xdr:cNvPr id="1034" name="Check Box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5600689" y="4410577"/>
                  <a:ext cx="180975" cy="17545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10040000}"/>
                    </a:ext>
                  </a:extLst>
                </xdr:cNvPr>
                <xdr:cNvSpPr/>
              </xdr:nvSpPr>
              <xdr:spPr bwMode="auto">
                <a:xfrm>
                  <a:off x="6076960" y="4400106"/>
                  <a:ext cx="180975" cy="17552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03" name="Grupė 13">
                <a:extLst>
                  <a:ext uri="{FF2B5EF4-FFF2-40B4-BE49-F238E27FC236}">
                    <a16:creationId xmlns:a16="http://schemas.microsoft.com/office/drawing/2014/main" id="{00000000-0008-0000-0000-000017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00689" y="4974232"/>
                <a:ext cx="657246" cy="175532"/>
                <a:chOff x="5600689" y="4917082"/>
                <a:chExt cx="657246" cy="175532"/>
              </a:xfrm>
            </xdr:grpSpPr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5600689" y="4917082"/>
                  <a:ext cx="180975" cy="17545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11040000}"/>
                    </a:ext>
                  </a:extLst>
                </xdr:cNvPr>
                <xdr:cNvSpPr/>
              </xdr:nvSpPr>
              <xdr:spPr bwMode="auto">
                <a:xfrm>
                  <a:off x="6076960" y="4920141"/>
                  <a:ext cx="180975" cy="1724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04" name="Grupė 14">
                <a:extLst>
                  <a:ext uri="{FF2B5EF4-FFF2-40B4-BE49-F238E27FC236}">
                    <a16:creationId xmlns:a16="http://schemas.microsoft.com/office/drawing/2014/main" id="{00000000-0008-0000-0000-000018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00689" y="4753909"/>
                <a:ext cx="657246" cy="181526"/>
                <a:chOff x="5600689" y="4658659"/>
                <a:chExt cx="657246" cy="181526"/>
              </a:xfrm>
            </xdr:grpSpPr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5600689" y="4658659"/>
                  <a:ext cx="180975" cy="1724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12040000}"/>
                    </a:ext>
                  </a:extLst>
                </xdr:cNvPr>
                <xdr:cNvSpPr/>
              </xdr:nvSpPr>
              <xdr:spPr bwMode="auto">
                <a:xfrm>
                  <a:off x="6076960" y="4664657"/>
                  <a:ext cx="180975" cy="175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05" name="Grupė 12">
                <a:extLs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00689" y="5237411"/>
                <a:ext cx="657246" cy="187305"/>
                <a:chOff x="5600689" y="5161211"/>
                <a:chExt cx="657246" cy="187305"/>
              </a:xfrm>
            </xdr:grpSpPr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40000}"/>
                    </a:ext>
                  </a:extLst>
                </xdr:cNvPr>
                <xdr:cNvSpPr/>
              </xdr:nvSpPr>
              <xdr:spPr bwMode="auto">
                <a:xfrm>
                  <a:off x="5600689" y="5161211"/>
                  <a:ext cx="180975" cy="17544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13040000}"/>
                    </a:ext>
                  </a:extLst>
                </xdr:cNvPr>
                <xdr:cNvSpPr/>
              </xdr:nvSpPr>
              <xdr:spPr bwMode="auto">
                <a:xfrm>
                  <a:off x="6076960" y="5172995"/>
                  <a:ext cx="180975" cy="1755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06" name="Grupė 11">
                <a:extLst>
                  <a:ext uri="{FF2B5EF4-FFF2-40B4-BE49-F238E27FC236}">
                    <a16:creationId xmlns:a16="http://schemas.microsoft.com/office/drawing/2014/main" id="{00000000-0008-0000-0000-00001A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00689" y="5463112"/>
                <a:ext cx="657246" cy="175684"/>
                <a:chOff x="5600689" y="5415487"/>
                <a:chExt cx="657246" cy="175684"/>
              </a:xfrm>
            </xdr:grpSpPr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0E040000}"/>
                    </a:ext>
                  </a:extLst>
                </xdr:cNvPr>
                <xdr:cNvSpPr/>
              </xdr:nvSpPr>
              <xdr:spPr bwMode="auto">
                <a:xfrm>
                  <a:off x="5600689" y="5415487"/>
                  <a:ext cx="180975" cy="17545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14040000}"/>
                    </a:ext>
                  </a:extLst>
                </xdr:cNvPr>
                <xdr:cNvSpPr/>
              </xdr:nvSpPr>
              <xdr:spPr bwMode="auto">
                <a:xfrm>
                  <a:off x="6076960" y="5418706"/>
                  <a:ext cx="180975" cy="1724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44</xdr:row>
          <xdr:rowOff>57150</xdr:rowOff>
        </xdr:from>
        <xdr:to>
          <xdr:col>12</xdr:col>
          <xdr:colOff>314325</xdr:colOff>
          <xdr:row>45</xdr:row>
          <xdr:rowOff>187591</xdr:rowOff>
        </xdr:to>
        <xdr:grpSp>
          <xdr:nvGrpSpPr>
            <xdr:cNvPr id="16" name="Grupė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5878830" y="10153650"/>
              <a:ext cx="653415" cy="359041"/>
              <a:chOff x="5895958" y="9925050"/>
              <a:chExt cx="657236" cy="359041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5895958" y="9925050"/>
                <a:ext cx="180971" cy="1467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6372223" y="10137335"/>
                <a:ext cx="180971" cy="1467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31</xdr:row>
          <xdr:rowOff>38100</xdr:rowOff>
        </xdr:from>
        <xdr:to>
          <xdr:col>11</xdr:col>
          <xdr:colOff>335280</xdr:colOff>
          <xdr:row>33</xdr:row>
          <xdr:rowOff>190500</xdr:rowOff>
        </xdr:to>
        <xdr:grpSp>
          <xdr:nvGrpSpPr>
            <xdr:cNvPr id="7" name="Grupė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897880" y="7338060"/>
              <a:ext cx="182880" cy="624840"/>
              <a:chOff x="5897880" y="7338060"/>
              <a:chExt cx="182880" cy="624840"/>
            </a:xfrm>
          </xdr:grpSpPr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000-0000AD040000}"/>
                  </a:ext>
                </a:extLst>
              </xdr:cNvPr>
              <xdr:cNvSpPr/>
            </xdr:nvSpPr>
            <xdr:spPr bwMode="auto">
              <a:xfrm>
                <a:off x="5897880" y="7574280"/>
                <a:ext cx="182880" cy="1600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  <a:ext uri="{FF2B5EF4-FFF2-40B4-BE49-F238E27FC236}">
                    <a16:creationId xmlns:a16="http://schemas.microsoft.com/office/drawing/2014/main" id="{00000000-0008-0000-0000-0000AE040000}"/>
                  </a:ext>
                </a:extLst>
              </xdr:cNvPr>
              <xdr:cNvSpPr/>
            </xdr:nvSpPr>
            <xdr:spPr bwMode="auto">
              <a:xfrm>
                <a:off x="5897880" y="7338060"/>
                <a:ext cx="182880" cy="1600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3" name="Check Box 269" hidden="1">
                <a:extLst>
                  <a:ext uri="{63B3BB69-23CF-44E3-9099-C40C66FF867C}">
                    <a14:compatExt spid="_x0000_s1293"/>
                  </a:ext>
                  <a:ext uri="{FF2B5EF4-FFF2-40B4-BE49-F238E27FC236}">
                    <a16:creationId xmlns:a16="http://schemas.microsoft.com/office/drawing/2014/main" id="{00000000-0008-0000-0000-00000D050000}"/>
                  </a:ext>
                </a:extLst>
              </xdr:cNvPr>
              <xdr:cNvSpPr/>
            </xdr:nvSpPr>
            <xdr:spPr bwMode="auto">
              <a:xfrm>
                <a:off x="5897880" y="7802880"/>
                <a:ext cx="182880" cy="1600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381000</xdr:colOff>
          <xdr:row>36</xdr:row>
          <xdr:rowOff>19050</xdr:rowOff>
        </xdr:from>
        <xdr:to>
          <xdr:col>12</xdr:col>
          <xdr:colOff>76200</xdr:colOff>
          <xdr:row>41</xdr:row>
          <xdr:rowOff>219074</xdr:rowOff>
        </xdr:to>
        <xdr:grpSp>
          <xdr:nvGrpSpPr>
            <xdr:cNvPr id="10" name="Grupė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6126480" y="8378190"/>
              <a:ext cx="167640" cy="1343024"/>
              <a:chOff x="6134100" y="8301990"/>
              <a:chExt cx="167640" cy="1343024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134100" y="8301990"/>
                <a:ext cx="167640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6134100" y="9244964"/>
                <a:ext cx="16764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6134100" y="9473564"/>
                <a:ext cx="16764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:a16="http://schemas.microsoft.com/office/drawing/2014/main" id="{00000000-0008-0000-0000-0000AB040000}"/>
                  </a:ext>
                </a:extLst>
              </xdr:cNvPr>
              <xdr:cNvSpPr/>
            </xdr:nvSpPr>
            <xdr:spPr bwMode="auto">
              <a:xfrm>
                <a:off x="6134100" y="8787765"/>
                <a:ext cx="16764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000-000011050000}"/>
                  </a:ext>
                </a:extLst>
              </xdr:cNvPr>
              <xdr:cNvSpPr/>
            </xdr:nvSpPr>
            <xdr:spPr bwMode="auto">
              <a:xfrm>
                <a:off x="6134100" y="8559165"/>
                <a:ext cx="16764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8" name="Check Box 274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000-000012050000}"/>
                  </a:ext>
                </a:extLst>
              </xdr:cNvPr>
              <xdr:cNvSpPr/>
            </xdr:nvSpPr>
            <xdr:spPr bwMode="auto">
              <a:xfrm>
                <a:off x="6134100" y="9016364"/>
                <a:ext cx="16764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160020</xdr:colOff>
          <xdr:row>47</xdr:row>
          <xdr:rowOff>38100</xdr:rowOff>
        </xdr:from>
        <xdr:to>
          <xdr:col>11</xdr:col>
          <xdr:colOff>342900</xdr:colOff>
          <xdr:row>50</xdr:row>
          <xdr:rowOff>182880</xdr:rowOff>
        </xdr:to>
        <xdr:grpSp>
          <xdr:nvGrpSpPr>
            <xdr:cNvPr id="11" name="Grupė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905500" y="10591800"/>
              <a:ext cx="182880" cy="762000"/>
              <a:chOff x="5913120" y="10744200"/>
              <a:chExt cx="182880" cy="762001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5913120" y="10744200"/>
                <a:ext cx="182880" cy="1447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5913120" y="11369041"/>
                <a:ext cx="182880" cy="1371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1" name="Check Box 267" hidden="1">
                <a:extLst>
                  <a:ext uri="{63B3BB69-23CF-44E3-9099-C40C66FF867C}">
                    <a14:compatExt spid="_x0000_s1291"/>
                  </a:ext>
                  <a:ext uri="{FF2B5EF4-FFF2-40B4-BE49-F238E27FC236}">
                    <a16:creationId xmlns:a16="http://schemas.microsoft.com/office/drawing/2014/main" id="{00000000-0008-0000-0000-00000B050000}"/>
                  </a:ext>
                </a:extLst>
              </xdr:cNvPr>
              <xdr:cNvSpPr/>
            </xdr:nvSpPr>
            <xdr:spPr bwMode="auto">
              <a:xfrm>
                <a:off x="5913120" y="11186160"/>
                <a:ext cx="182880" cy="1295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9" name="Check Box 275" hidden="1">
                <a:extLst>
                  <a:ext uri="{63B3BB69-23CF-44E3-9099-C40C66FF867C}">
                    <a14:compatExt spid="_x0000_s1299"/>
                  </a:ext>
                  <a:ext uri="{FF2B5EF4-FFF2-40B4-BE49-F238E27FC236}">
                    <a16:creationId xmlns:a16="http://schemas.microsoft.com/office/drawing/2014/main" id="{00000000-0008-0000-0000-000013050000}"/>
                  </a:ext>
                </a:extLst>
              </xdr:cNvPr>
              <xdr:cNvSpPr/>
            </xdr:nvSpPr>
            <xdr:spPr bwMode="auto">
              <a:xfrm>
                <a:off x="5913120" y="10980420"/>
                <a:ext cx="182880" cy="1295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160020</xdr:colOff>
          <xdr:row>59</xdr:row>
          <xdr:rowOff>60960</xdr:rowOff>
        </xdr:from>
        <xdr:to>
          <xdr:col>11</xdr:col>
          <xdr:colOff>342900</xdr:colOff>
          <xdr:row>59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64</xdr:row>
          <xdr:rowOff>36950</xdr:rowOff>
        </xdr:from>
        <xdr:to>
          <xdr:col>11</xdr:col>
          <xdr:colOff>323850</xdr:colOff>
          <xdr:row>67</xdr:row>
          <xdr:rowOff>180248</xdr:rowOff>
        </xdr:to>
        <xdr:grpSp>
          <xdr:nvGrpSpPr>
            <xdr:cNvPr id="21" name="Grupė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897880" y="14012030"/>
              <a:ext cx="171450" cy="760518"/>
              <a:chOff x="5915025" y="13638660"/>
              <a:chExt cx="171450" cy="771958"/>
            </a:xfrm>
          </xdr:grpSpPr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5915025" y="13857414"/>
                <a:ext cx="171450" cy="1351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5915025" y="13638660"/>
                <a:ext cx="171450" cy="125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5915025" y="14076018"/>
                <a:ext cx="171450" cy="125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5915025" y="14285149"/>
                <a:ext cx="171450" cy="1254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51</xdr:row>
          <xdr:rowOff>47625</xdr:rowOff>
        </xdr:from>
        <xdr:to>
          <xdr:col>11</xdr:col>
          <xdr:colOff>342900</xdr:colOff>
          <xdr:row>51</xdr:row>
          <xdr:rowOff>178700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60</xdr:row>
          <xdr:rowOff>58861</xdr:rowOff>
        </xdr:from>
        <xdr:to>
          <xdr:col>11</xdr:col>
          <xdr:colOff>342900</xdr:colOff>
          <xdr:row>60</xdr:row>
          <xdr:rowOff>189936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61</xdr:row>
          <xdr:rowOff>49738</xdr:rowOff>
        </xdr:from>
        <xdr:to>
          <xdr:col>11</xdr:col>
          <xdr:colOff>342900</xdr:colOff>
          <xdr:row>61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55</xdr:row>
          <xdr:rowOff>48325</xdr:rowOff>
        </xdr:from>
        <xdr:to>
          <xdr:col>11</xdr:col>
          <xdr:colOff>342900</xdr:colOff>
          <xdr:row>55</xdr:row>
          <xdr:rowOff>179400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56</xdr:row>
          <xdr:rowOff>48560</xdr:rowOff>
        </xdr:from>
        <xdr:to>
          <xdr:col>11</xdr:col>
          <xdr:colOff>342900</xdr:colOff>
          <xdr:row>56</xdr:row>
          <xdr:rowOff>179635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57</xdr:row>
          <xdr:rowOff>58157</xdr:rowOff>
        </xdr:from>
        <xdr:to>
          <xdr:col>11</xdr:col>
          <xdr:colOff>342900</xdr:colOff>
          <xdr:row>57</xdr:row>
          <xdr:rowOff>189232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54</xdr:row>
          <xdr:rowOff>48090</xdr:rowOff>
        </xdr:from>
        <xdr:to>
          <xdr:col>11</xdr:col>
          <xdr:colOff>342900</xdr:colOff>
          <xdr:row>54</xdr:row>
          <xdr:rowOff>179165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58</xdr:row>
          <xdr:rowOff>58391</xdr:rowOff>
        </xdr:from>
        <xdr:to>
          <xdr:col>11</xdr:col>
          <xdr:colOff>342900</xdr:colOff>
          <xdr:row>58</xdr:row>
          <xdr:rowOff>189466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53</xdr:row>
          <xdr:rowOff>47856</xdr:rowOff>
        </xdr:from>
        <xdr:to>
          <xdr:col>11</xdr:col>
          <xdr:colOff>342900</xdr:colOff>
          <xdr:row>53</xdr:row>
          <xdr:rowOff>178931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59</xdr:row>
          <xdr:rowOff>58626</xdr:rowOff>
        </xdr:from>
        <xdr:to>
          <xdr:col>11</xdr:col>
          <xdr:colOff>342900</xdr:colOff>
          <xdr:row>59</xdr:row>
          <xdr:rowOff>189701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23</xdr:row>
          <xdr:rowOff>28572</xdr:rowOff>
        </xdr:from>
        <xdr:to>
          <xdr:col>11</xdr:col>
          <xdr:colOff>323850</xdr:colOff>
          <xdr:row>30</xdr:row>
          <xdr:rowOff>175325</xdr:rowOff>
        </xdr:to>
        <xdr:grpSp>
          <xdr:nvGrpSpPr>
            <xdr:cNvPr id="3" name="Grupė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888355" y="5438772"/>
              <a:ext cx="180975" cy="1800293"/>
              <a:chOff x="5905500" y="5191122"/>
              <a:chExt cx="180975" cy="1813628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5906734" y="6843461"/>
                <a:ext cx="179741" cy="16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5905500" y="5191122"/>
                <a:ext cx="179741" cy="16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5905500" y="5415245"/>
                <a:ext cx="179741" cy="1722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5905500" y="6122829"/>
                <a:ext cx="179741" cy="1674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5905500" y="5661252"/>
                <a:ext cx="179741" cy="16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5905500" y="5912921"/>
                <a:ext cx="179741" cy="1424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" name="Check Box 280" hidden="1">
                <a:extLst>
                  <a:ext uri="{63B3BB69-23CF-44E3-9099-C40C66FF867C}">
                    <a14:compatExt spid="_x0000_s1304"/>
                  </a:ex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 bwMode="auto">
              <a:xfrm>
                <a:off x="5905500" y="6611721"/>
                <a:ext cx="179741" cy="16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000-000021050000}"/>
                  </a:ext>
                </a:extLst>
              </xdr:cNvPr>
              <xdr:cNvSpPr/>
            </xdr:nvSpPr>
            <xdr:spPr bwMode="auto">
              <a:xfrm>
                <a:off x="5905500" y="6373596"/>
                <a:ext cx="179741" cy="16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52</xdr:row>
          <xdr:rowOff>47856</xdr:rowOff>
        </xdr:from>
        <xdr:to>
          <xdr:col>11</xdr:col>
          <xdr:colOff>342900</xdr:colOff>
          <xdr:row>52</xdr:row>
          <xdr:rowOff>178931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F5FBB25B-4052-4C6A-9E9C-9995E03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5"/>
  <sheetViews>
    <sheetView tabSelected="1" zoomScaleNormal="100" workbookViewId="0">
      <selection sqref="A1:M1"/>
    </sheetView>
  </sheetViews>
  <sheetFormatPr defaultColWidth="0" defaultRowHeight="15.6" zeroHeight="1" x14ac:dyDescent="0.3"/>
  <cols>
    <col min="1" max="1" width="2.5" style="120" customWidth="1"/>
    <col min="2" max="2" width="3" style="120" customWidth="1"/>
    <col min="3" max="3" width="14.59765625" style="120" customWidth="1"/>
    <col min="4" max="4" width="10.5" style="120" customWidth="1"/>
    <col min="5" max="5" width="21.69921875" style="120" customWidth="1"/>
    <col min="6" max="8" width="3.69921875" style="120" customWidth="1"/>
    <col min="9" max="11" width="4" style="120" customWidth="1"/>
    <col min="12" max="13" width="6.19921875" style="120" customWidth="1"/>
    <col min="14" max="14" width="5" style="120" customWidth="1"/>
    <col min="15" max="15" width="23.19921875" style="120" bestFit="1" customWidth="1"/>
    <col min="16" max="16" width="4.19921875" style="120" customWidth="1"/>
    <col min="17" max="17" width="42.8984375" style="120" bestFit="1" customWidth="1"/>
    <col min="18" max="18" width="2.19921875" style="120" customWidth="1"/>
    <col min="19" max="19" width="45.296875" style="120" hidden="1"/>
    <col min="20" max="21" width="5.796875" style="120" hidden="1"/>
    <col min="22" max="22" width="22.19921875" style="120" hidden="1"/>
    <col min="23" max="23" width="21.59765625" style="120" hidden="1"/>
    <col min="24" max="24" width="17.796875" style="120" hidden="1"/>
    <col min="25" max="25" width="5.59765625" style="120" hidden="1"/>
    <col min="26" max="26" width="15.59765625" style="120" hidden="1"/>
    <col min="27" max="28" width="10.09765625" style="120" hidden="1"/>
    <col min="29" max="16384" width="3.796875" style="120" hidden="1"/>
  </cols>
  <sheetData>
    <row r="1" spans="1:28" s="4" customFormat="1" ht="18" x14ac:dyDescent="0.3">
      <c r="A1" s="238" t="s">
        <v>66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1"/>
      <c r="O1" s="2"/>
      <c r="P1" s="2"/>
      <c r="Q1" s="2"/>
      <c r="R1" s="2"/>
      <c r="S1" s="3"/>
      <c r="Y1" s="1"/>
    </row>
    <row r="2" spans="1:28" s="4" customFormat="1" ht="5.25" customHeight="1" x14ac:dyDescent="0.3">
      <c r="A2" s="239" t="s">
        <v>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5"/>
      <c r="Q2" s="2"/>
      <c r="R2" s="2"/>
      <c r="S2" s="3"/>
      <c r="Y2" s="1"/>
    </row>
    <row r="3" spans="1:28" s="4" customFormat="1" ht="16.5" customHeigh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5"/>
      <c r="O3" s="6" t="s">
        <v>0</v>
      </c>
      <c r="P3" s="7">
        <f>T70</f>
        <v>0</v>
      </c>
      <c r="Q3" s="8" t="str">
        <f>IF(P3&gt;7,"","Dalykų turi būti ne mažiau kaip 8")</f>
        <v>Dalykų turi būti ne mažiau kaip 8</v>
      </c>
      <c r="R3" s="2"/>
      <c r="S3" s="3"/>
      <c r="Y3" s="1"/>
    </row>
    <row r="4" spans="1:28" s="10" customFormat="1" ht="4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11"/>
      <c r="P4" s="12"/>
      <c r="Q4" s="13"/>
      <c r="R4" s="2"/>
      <c r="S4" s="14"/>
      <c r="Y4" s="15"/>
    </row>
    <row r="5" spans="1:28" s="10" customFormat="1" ht="16.5" customHeight="1" x14ac:dyDescent="0.3">
      <c r="A5" s="9"/>
      <c r="B5" s="16"/>
      <c r="C5" s="17" t="s">
        <v>1</v>
      </c>
      <c r="D5" s="240"/>
      <c r="E5" s="240"/>
      <c r="F5" s="18"/>
      <c r="G5" s="18"/>
      <c r="H5" s="17" t="s">
        <v>2</v>
      </c>
      <c r="I5" s="240"/>
      <c r="J5" s="240"/>
      <c r="K5" s="240"/>
      <c r="L5" s="240"/>
      <c r="M5" s="240"/>
      <c r="N5" s="19"/>
      <c r="O5" s="6" t="s">
        <v>3</v>
      </c>
      <c r="P5" s="7">
        <f>T72</f>
        <v>0</v>
      </c>
      <c r="Q5" s="8" t="str">
        <f>IF((P5&lt;=35)*(P5&gt;=28),"","Pamokų turi būti ne mažiau kaip 28 ir ne daugiau kaip 35")</f>
        <v>Pamokų turi būti ne mažiau kaip 28 ir ne daugiau kaip 35</v>
      </c>
      <c r="R5" s="2"/>
      <c r="S5" s="14"/>
      <c r="Y5" s="15"/>
    </row>
    <row r="6" spans="1:28" s="10" customFormat="1" ht="6" customHeight="1" x14ac:dyDescent="0.3">
      <c r="A6" s="9"/>
      <c r="B6" s="16"/>
      <c r="C6" s="17"/>
      <c r="D6" s="18"/>
      <c r="E6" s="18"/>
      <c r="F6" s="18"/>
      <c r="G6" s="18"/>
      <c r="H6" s="17"/>
      <c r="I6" s="9"/>
      <c r="J6" s="17"/>
      <c r="K6" s="17"/>
      <c r="L6" s="20"/>
      <c r="M6" s="9"/>
      <c r="O6" s="11"/>
      <c r="P6" s="12"/>
      <c r="Q6" s="13"/>
      <c r="R6" s="2"/>
      <c r="S6" s="14"/>
      <c r="Y6" s="15"/>
    </row>
    <row r="7" spans="1:28" s="10" customFormat="1" ht="16.5" customHeight="1" x14ac:dyDescent="0.3">
      <c r="A7" s="9"/>
      <c r="B7" s="21"/>
      <c r="C7" s="17" t="s">
        <v>67</v>
      </c>
      <c r="D7" s="22"/>
      <c r="E7" s="9"/>
      <c r="F7" s="17"/>
      <c r="G7" s="17"/>
      <c r="H7" s="17" t="s">
        <v>4</v>
      </c>
      <c r="I7" s="240"/>
      <c r="J7" s="240"/>
      <c r="K7" s="240"/>
      <c r="L7" s="240"/>
      <c r="M7" s="240"/>
      <c r="N7" s="23"/>
      <c r="O7" s="6" t="s">
        <v>5</v>
      </c>
      <c r="P7" s="7">
        <f>T74</f>
        <v>0</v>
      </c>
      <c r="Q7" s="8" t="str">
        <f>IF((P7&lt;=35)*(P7&gt;=28),"","Pamokų turi būti ne mažiau kaip 28 ir ne daugiau kaip 35")</f>
        <v>Pamokų turi būti ne mažiau kaip 28 ir ne daugiau kaip 35</v>
      </c>
      <c r="R7" s="2"/>
      <c r="S7" s="14"/>
      <c r="Y7" s="15"/>
    </row>
    <row r="8" spans="1:28" s="10" customFormat="1" ht="6" customHeight="1" x14ac:dyDescent="0.3">
      <c r="A8" s="9"/>
      <c r="B8" s="21"/>
      <c r="C8" s="9"/>
      <c r="D8" s="9"/>
      <c r="E8" s="9"/>
      <c r="F8" s="9"/>
      <c r="G8" s="9"/>
      <c r="H8" s="9"/>
      <c r="I8" s="17"/>
      <c r="J8" s="24"/>
      <c r="K8" s="24"/>
      <c r="L8" s="25"/>
      <c r="M8" s="25"/>
      <c r="N8" s="23"/>
      <c r="O8" s="2"/>
      <c r="P8" s="2"/>
      <c r="Q8" s="2"/>
      <c r="R8" s="2"/>
      <c r="S8" s="14"/>
      <c r="Y8" s="15"/>
    </row>
    <row r="9" spans="1:28" s="28" customFormat="1" ht="12.75" customHeight="1" x14ac:dyDescent="0.3">
      <c r="A9" s="26"/>
      <c r="B9" s="27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O9" s="29"/>
      <c r="P9" s="29"/>
      <c r="Q9" s="29"/>
      <c r="R9" s="29"/>
      <c r="Y9" s="30"/>
    </row>
    <row r="10" spans="1:28" s="10" customFormat="1" ht="28.8" customHeight="1" x14ac:dyDescent="0.3">
      <c r="A10" s="9"/>
      <c r="B10" s="243" t="s">
        <v>94</v>
      </c>
      <c r="C10" s="243"/>
      <c r="D10" s="243"/>
      <c r="E10" s="243"/>
      <c r="F10" s="243"/>
      <c r="G10" s="243"/>
      <c r="H10" s="243"/>
      <c r="I10" s="240"/>
      <c r="J10" s="240"/>
      <c r="K10" s="240"/>
      <c r="L10" s="240"/>
      <c r="M10" s="240"/>
      <c r="O10" s="173" t="s">
        <v>95</v>
      </c>
      <c r="P10" s="246" t="s">
        <v>96</v>
      </c>
      <c r="Q10" s="246"/>
      <c r="R10" s="2"/>
      <c r="S10" s="14"/>
      <c r="Y10" s="15"/>
    </row>
    <row r="11" spans="1:28" s="10" customFormat="1" ht="24" customHeight="1" x14ac:dyDescent="0.3">
      <c r="A11" s="9"/>
      <c r="B11" s="225" t="s">
        <v>7</v>
      </c>
      <c r="C11" s="182" t="s">
        <v>8</v>
      </c>
      <c r="D11" s="182" t="s">
        <v>9</v>
      </c>
      <c r="E11" s="182"/>
      <c r="F11" s="241" t="s">
        <v>10</v>
      </c>
      <c r="G11" s="241" t="s">
        <v>11</v>
      </c>
      <c r="H11" s="241" t="s">
        <v>12</v>
      </c>
      <c r="I11" s="242" t="s">
        <v>13</v>
      </c>
      <c r="J11" s="182" t="s">
        <v>14</v>
      </c>
      <c r="K11" s="182"/>
      <c r="L11" s="227" t="s">
        <v>15</v>
      </c>
      <c r="M11" s="227" t="s">
        <v>16</v>
      </c>
      <c r="N11" s="31"/>
      <c r="O11" s="244"/>
      <c r="P11" s="246"/>
      <c r="Q11" s="246"/>
      <c r="R11" s="2"/>
      <c r="S11" s="223" t="s">
        <v>9</v>
      </c>
      <c r="T11" s="224" t="s">
        <v>17</v>
      </c>
      <c r="U11" s="224" t="s">
        <v>18</v>
      </c>
      <c r="V11" s="223" t="s">
        <v>19</v>
      </c>
      <c r="W11" s="223" t="s">
        <v>20</v>
      </c>
      <c r="X11" s="223" t="s">
        <v>21</v>
      </c>
      <c r="Y11" s="223" t="s">
        <v>13</v>
      </c>
      <c r="Z11" s="223" t="s">
        <v>22</v>
      </c>
      <c r="AA11" s="223" t="s">
        <v>23</v>
      </c>
      <c r="AB11" s="223" t="s">
        <v>24</v>
      </c>
    </row>
    <row r="12" spans="1:28" s="10" customFormat="1" ht="46.5" customHeight="1" x14ac:dyDescent="0.3">
      <c r="A12" s="9"/>
      <c r="B12" s="225"/>
      <c r="C12" s="182"/>
      <c r="D12" s="182"/>
      <c r="E12" s="182"/>
      <c r="F12" s="241"/>
      <c r="G12" s="241"/>
      <c r="H12" s="241"/>
      <c r="I12" s="242"/>
      <c r="J12" s="32" t="s">
        <v>25</v>
      </c>
      <c r="K12" s="32" t="s">
        <v>26</v>
      </c>
      <c r="L12" s="182"/>
      <c r="M12" s="182"/>
      <c r="N12" s="33"/>
      <c r="O12" s="245"/>
      <c r="P12" s="246"/>
      <c r="Q12" s="246"/>
      <c r="R12" s="2"/>
      <c r="S12" s="223"/>
      <c r="T12" s="224"/>
      <c r="U12" s="224"/>
      <c r="V12" s="223"/>
      <c r="W12" s="223"/>
      <c r="X12" s="223"/>
      <c r="Y12" s="223"/>
      <c r="Z12" s="223"/>
      <c r="AA12" s="223"/>
      <c r="AB12" s="223"/>
    </row>
    <row r="13" spans="1:28" s="10" customFormat="1" ht="18.75" customHeight="1" x14ac:dyDescent="0.3">
      <c r="A13" s="230" t="s">
        <v>27</v>
      </c>
      <c r="B13" s="223">
        <v>1</v>
      </c>
      <c r="C13" s="231" t="s">
        <v>28</v>
      </c>
      <c r="D13" s="183" t="s">
        <v>29</v>
      </c>
      <c r="E13" s="183"/>
      <c r="F13" s="34"/>
      <c r="G13" s="34"/>
      <c r="H13" s="34"/>
      <c r="I13" s="35" t="str">
        <f t="shared" ref="I13:I30" si="0">Y13</f>
        <v/>
      </c>
      <c r="J13" s="35" t="str">
        <f t="shared" ref="J13:K27" si="1">AA13</f>
        <v/>
      </c>
      <c r="K13" s="35" t="str">
        <f t="shared" si="1"/>
        <v/>
      </c>
      <c r="L13" s="36"/>
      <c r="M13" s="37" t="s">
        <v>30</v>
      </c>
      <c r="N13" s="38"/>
      <c r="O13" s="226" t="str">
        <f>IF(AND(NOT(T13),NOT(T14)),"Privaloma pasirinkti vieną dorinio ugdymo dalyką",IF(AND(T13,T14),"Galima rinktis tik vieną dorinio ugdymo dalyką",""))</f>
        <v>Privaloma pasirinkti vieną dorinio ugdymo dalyką</v>
      </c>
      <c r="P13" s="226"/>
      <c r="Q13" s="226"/>
      <c r="R13" s="39"/>
      <c r="S13" s="40" t="str">
        <f t="shared" ref="S13:S33" si="2">D13</f>
        <v>Tikyba</v>
      </c>
      <c r="T13" s="41" t="b">
        <v>0</v>
      </c>
      <c r="U13" s="41"/>
      <c r="V13" s="42">
        <f>IF((T13)*(W13=1),1,0)</f>
        <v>0</v>
      </c>
      <c r="W13" s="42">
        <f>IF(T13=T14,0,1)</f>
        <v>0</v>
      </c>
      <c r="X13" s="42"/>
      <c r="Y13" s="42" t="str">
        <f>IF(Z13=2,"B","")</f>
        <v/>
      </c>
      <c r="Z13" s="42">
        <f>IF((T13=TRUE)*(W13=1),2,0)</f>
        <v>0</v>
      </c>
      <c r="AA13" s="42" t="str">
        <f>IF(Z13=2,1,"")</f>
        <v/>
      </c>
      <c r="AB13" s="42" t="str">
        <f>IF(Z13=2,1,"")</f>
        <v/>
      </c>
    </row>
    <row r="14" spans="1:28" s="10" customFormat="1" ht="18.75" customHeight="1" x14ac:dyDescent="0.3">
      <c r="A14" s="230"/>
      <c r="B14" s="223"/>
      <c r="C14" s="231"/>
      <c r="D14" s="232" t="s">
        <v>31</v>
      </c>
      <c r="E14" s="232"/>
      <c r="F14" s="43"/>
      <c r="G14" s="43"/>
      <c r="H14" s="43"/>
      <c r="I14" s="44" t="str">
        <f t="shared" si="0"/>
        <v/>
      </c>
      <c r="J14" s="44" t="str">
        <f t="shared" si="1"/>
        <v/>
      </c>
      <c r="K14" s="44" t="str">
        <f t="shared" si="1"/>
        <v/>
      </c>
      <c r="L14" s="45"/>
      <c r="M14" s="46" t="s">
        <v>30</v>
      </c>
      <c r="N14" s="38"/>
      <c r="O14" s="226"/>
      <c r="P14" s="226"/>
      <c r="Q14" s="226"/>
      <c r="R14" s="39"/>
      <c r="S14" s="40" t="str">
        <f t="shared" si="2"/>
        <v>Etika</v>
      </c>
      <c r="T14" s="41" t="b">
        <v>0</v>
      </c>
      <c r="U14" s="41"/>
      <c r="V14" s="42">
        <f>IF((T14)*(W14=1),1,0)</f>
        <v>0</v>
      </c>
      <c r="W14" s="42">
        <f>IF(T13=T14,0,1)</f>
        <v>0</v>
      </c>
      <c r="X14" s="42"/>
      <c r="Y14" s="42" t="str">
        <f>IF(Z14=2,"B","")</f>
        <v/>
      </c>
      <c r="Z14" s="42">
        <f>IF((T14=TRUE)*(W14=1),2,0)</f>
        <v>0</v>
      </c>
      <c r="AA14" s="42" t="str">
        <f>IF(Z14=2,1,"")</f>
        <v/>
      </c>
      <c r="AB14" s="42" t="str">
        <f>IF(Z14=2,1,"")</f>
        <v/>
      </c>
    </row>
    <row r="15" spans="1:28" s="10" customFormat="1" ht="27.75" customHeight="1" x14ac:dyDescent="0.3">
      <c r="A15" s="230"/>
      <c r="B15" s="47">
        <v>2</v>
      </c>
      <c r="C15" s="48" t="s">
        <v>32</v>
      </c>
      <c r="D15" s="233" t="str">
        <f>IF(U15,"Lietuvių kalba ir literatūra+„Rašytinės ir sakytinės kalbos tikslingumo“ modulis","Lietuvių kalba ir literatūra")</f>
        <v>Lietuvių kalba ir literatūra</v>
      </c>
      <c r="E15" s="234"/>
      <c r="F15" s="49"/>
      <c r="G15" s="49"/>
      <c r="H15" s="49"/>
      <c r="I15" s="50" t="str">
        <f t="shared" si="0"/>
        <v/>
      </c>
      <c r="J15" s="50" t="str">
        <f t="shared" si="1"/>
        <v/>
      </c>
      <c r="K15" s="50" t="str">
        <f t="shared" si="1"/>
        <v/>
      </c>
      <c r="L15" s="51"/>
      <c r="M15" s="52"/>
      <c r="N15" s="53"/>
      <c r="O15" s="226" t="str">
        <f>IF(AND(NOT(T15),NOT(U15)),"Privaloma pasirinkti lietuvių k. B arba A kursą.",IF(AND(T15,U15),"Galima rinktis tik A arba B kursą",""))</f>
        <v>Privaloma pasirinkti lietuvių k. B arba A kursą.</v>
      </c>
      <c r="P15" s="226"/>
      <c r="Q15" s="226"/>
      <c r="R15" s="2"/>
      <c r="S15" s="54" t="str">
        <f t="shared" si="2"/>
        <v>Lietuvių kalba ir literatūra</v>
      </c>
      <c r="T15" s="55" t="b">
        <v>0</v>
      </c>
      <c r="U15" s="41" t="b">
        <v>0</v>
      </c>
      <c r="V15" s="56">
        <f>IF((T15 +U15)*NOT(T15*U15),1,0)</f>
        <v>0</v>
      </c>
      <c r="W15" s="55"/>
      <c r="X15" s="55"/>
      <c r="Y15" s="56" t="str">
        <f>IF((T15=TRUE)*(Z15=10),"B",IF((U15=TRUE)*(Z15=12),"A",""))</f>
        <v/>
      </c>
      <c r="Z15" s="56">
        <f>IF((T15=TRUE)*(U15=FALSE),10,IF((T15=FALSE)*(U15=TRUE),12,0))</f>
        <v>0</v>
      </c>
      <c r="AA15" s="56" t="str">
        <f>IF(Z15=0,"",IF(Z15=10,5,6))</f>
        <v/>
      </c>
      <c r="AB15" s="56" t="str">
        <f>IF(Z15=0,"",IF(Z15=10,5,6))</f>
        <v/>
      </c>
    </row>
    <row r="16" spans="1:28" s="10" customFormat="1" ht="25.5" customHeight="1" x14ac:dyDescent="0.3">
      <c r="A16" s="230"/>
      <c r="B16" s="223">
        <v>3</v>
      </c>
      <c r="C16" s="231" t="s">
        <v>33</v>
      </c>
      <c r="D16" s="218" t="s">
        <v>77</v>
      </c>
      <c r="E16" s="219"/>
      <c r="F16" s="57"/>
      <c r="G16" s="35"/>
      <c r="H16" s="35"/>
      <c r="I16" s="35" t="str">
        <f t="shared" si="0"/>
        <v/>
      </c>
      <c r="J16" s="35" t="str">
        <f t="shared" si="1"/>
        <v/>
      </c>
      <c r="K16" s="35" t="str">
        <f t="shared" si="1"/>
        <v/>
      </c>
      <c r="L16" s="58"/>
      <c r="M16" s="59"/>
      <c r="N16" s="53"/>
      <c r="O16" s="235" t="str">
        <f>IF(SUM(X16:X17)=0,"Privaloma pasirinkti užsienio kalbą.",IF(X16+X17&gt;1,"Galima pasirinkti tik vieną privalomąją užsienio kalbą. Norėdami mokytis daugiau užsienio kalbų, pasirinkite pasirenkamąją (arba pradedantiesiems) užsienio kalbą. Žr. Nr. 9 ir Nr. 11",""))</f>
        <v>Privaloma pasirinkti užsienio kalbą.</v>
      </c>
      <c r="P16" s="235"/>
      <c r="Q16" s="235"/>
      <c r="R16" s="60"/>
      <c r="S16" s="54" t="str">
        <f t="shared" si="2"/>
        <v>Anglų kalba (B2)+Kalbos įgūdžių lavinimo modulis</v>
      </c>
      <c r="T16" s="55"/>
      <c r="U16" s="41" t="b">
        <v>0</v>
      </c>
      <c r="V16" s="42">
        <f>IF((U16)*(W16=1),1,0)</f>
        <v>0</v>
      </c>
      <c r="W16" s="42">
        <f>IF(SUM($X$16:$X$17)=1,1,0)</f>
        <v>0</v>
      </c>
      <c r="X16" s="42">
        <f>IF(U16,1,0)</f>
        <v>0</v>
      </c>
      <c r="Y16" s="42" t="str">
        <f>IF(Z16=0,"","B2")</f>
        <v/>
      </c>
      <c r="Z16" s="42">
        <f>IF((U16=TRUE)*(W16=1),8,0)</f>
        <v>0</v>
      </c>
      <c r="AA16" s="42" t="str">
        <f>IF(Z16=0,"",4)</f>
        <v/>
      </c>
      <c r="AB16" s="42" t="str">
        <f>IF(Z16=0,"",4)</f>
        <v/>
      </c>
    </row>
    <row r="17" spans="1:28" s="10" customFormat="1" ht="18.75" customHeight="1" x14ac:dyDescent="0.3">
      <c r="A17" s="230"/>
      <c r="B17" s="223"/>
      <c r="C17" s="231"/>
      <c r="D17" s="185" t="s">
        <v>68</v>
      </c>
      <c r="E17" s="185"/>
      <c r="F17" s="61"/>
      <c r="G17" s="62"/>
      <c r="H17" s="62"/>
      <c r="I17" s="63" t="str">
        <f t="shared" si="0"/>
        <v/>
      </c>
      <c r="J17" s="62" t="str">
        <f>AA17</f>
        <v/>
      </c>
      <c r="K17" s="62" t="str">
        <f>AB17</f>
        <v/>
      </c>
      <c r="L17" s="64"/>
      <c r="M17" s="65"/>
      <c r="N17" s="53"/>
      <c r="O17" s="235"/>
      <c r="P17" s="235"/>
      <c r="Q17" s="235"/>
      <c r="R17" s="60"/>
      <c r="S17" s="54" t="str">
        <f t="shared" si="2"/>
        <v>Anglų kalba (B1)</v>
      </c>
      <c r="T17" s="41"/>
      <c r="U17" s="41" t="b">
        <v>0</v>
      </c>
      <c r="V17" s="42">
        <f>IF((U17)*(W17=1),1,0)</f>
        <v>0</v>
      </c>
      <c r="W17" s="42">
        <f>IF(SUM($X$16:$X$17)=1,1,0)</f>
        <v>0</v>
      </c>
      <c r="X17" s="42">
        <f>IF(U17,1,0)</f>
        <v>0</v>
      </c>
      <c r="Y17" s="42" t="str">
        <f>IF(Z17=0,"","B1")</f>
        <v/>
      </c>
      <c r="Z17" s="42">
        <f>IF((U17=TRUE)*(W17=1),6,0)</f>
        <v>0</v>
      </c>
      <c r="AA17" s="42" t="str">
        <f>IF(Z17=0,"",3)</f>
        <v/>
      </c>
      <c r="AB17" s="42" t="str">
        <f>IF(Z17=0,"",3)</f>
        <v/>
      </c>
    </row>
    <row r="18" spans="1:28" s="10" customFormat="1" ht="25.5" customHeight="1" x14ac:dyDescent="0.3">
      <c r="A18" s="230"/>
      <c r="B18" s="223">
        <v>4</v>
      </c>
      <c r="C18" s="231" t="s">
        <v>34</v>
      </c>
      <c r="D18" s="183" t="str">
        <f>IF(U18,"Istorija + projektinis darbas + darbas su istorijos šaltiniais","Istorija")</f>
        <v>Istorija</v>
      </c>
      <c r="E18" s="183"/>
      <c r="F18" s="57"/>
      <c r="G18" s="35"/>
      <c r="H18" s="35"/>
      <c r="I18" s="35" t="str">
        <f t="shared" si="0"/>
        <v/>
      </c>
      <c r="J18" s="35" t="str">
        <f t="shared" si="1"/>
        <v/>
      </c>
      <c r="K18" s="35" t="str">
        <f t="shared" si="1"/>
        <v/>
      </c>
      <c r="L18" s="66"/>
      <c r="M18" s="67"/>
      <c r="N18" s="53"/>
      <c r="O18" s="184" t="str">
        <f>IF(SUM(X18:X19)=0,"Privaloma pasirinkti bent vieną iš visuomenės mokslų.",IF(OR(X18=2,X19=2),"Galima rinktis tik A arba B kursą",""))</f>
        <v>Privaloma pasirinkti bent vieną iš visuomenės mokslų.</v>
      </c>
      <c r="P18" s="184"/>
      <c r="Q18" s="184"/>
      <c r="R18" s="39"/>
      <c r="S18" s="54" t="str">
        <f t="shared" si="2"/>
        <v>Istorija</v>
      </c>
      <c r="T18" s="55" t="b">
        <v>0</v>
      </c>
      <c r="U18" s="41" t="b">
        <v>0</v>
      </c>
      <c r="V18" s="56">
        <f t="shared" ref="V18:V23" si="3">IF((T18 +U18)*NOT(T18*U18),1,0)</f>
        <v>0</v>
      </c>
      <c r="W18" s="42">
        <f>IF($V$18+$V$19&gt;0,1,0)</f>
        <v>0</v>
      </c>
      <c r="X18" s="42">
        <f>IF((T18=U18)*(T18=TRUE)*(U18=TRUE),2,IF((T18=U18),0,1))</f>
        <v>0</v>
      </c>
      <c r="Y18" s="56" t="str">
        <f>IF(Z18=4,"B",IF(Z18=8,"A",""))</f>
        <v/>
      </c>
      <c r="Z18" s="56">
        <f>IF((T18=TRUE)*(U18=FALSE)*(W18=1),4,IF((T18=FALSE)*(U18=TRUE)*(W18=1),8,0))</f>
        <v>0</v>
      </c>
      <c r="AA18" s="56" t="str">
        <f>IF(Z18=0,"",IF(Z18=4,2,4))</f>
        <v/>
      </c>
      <c r="AB18" s="56" t="str">
        <f>IF(Z18=0,"",IF(Z18=4,2,4))</f>
        <v/>
      </c>
    </row>
    <row r="19" spans="1:28" s="10" customFormat="1" ht="18.75" customHeight="1" x14ac:dyDescent="0.3">
      <c r="A19" s="230"/>
      <c r="B19" s="223"/>
      <c r="C19" s="231"/>
      <c r="D19" s="232" t="s">
        <v>35</v>
      </c>
      <c r="E19" s="232"/>
      <c r="F19" s="43"/>
      <c r="G19" s="43"/>
      <c r="H19" s="43"/>
      <c r="I19" s="44" t="str">
        <f t="shared" si="0"/>
        <v/>
      </c>
      <c r="J19" s="44" t="str">
        <f t="shared" si="1"/>
        <v/>
      </c>
      <c r="K19" s="44" t="str">
        <f t="shared" si="1"/>
        <v/>
      </c>
      <c r="L19" s="45"/>
      <c r="M19" s="68"/>
      <c r="N19" s="53"/>
      <c r="O19" s="184"/>
      <c r="P19" s="184"/>
      <c r="Q19" s="184"/>
      <c r="R19" s="39"/>
      <c r="S19" s="40" t="str">
        <f t="shared" si="2"/>
        <v>Geografija</v>
      </c>
      <c r="T19" s="41" t="b">
        <v>0</v>
      </c>
      <c r="U19" s="41" t="b">
        <v>0</v>
      </c>
      <c r="V19" s="42">
        <f t="shared" si="3"/>
        <v>0</v>
      </c>
      <c r="W19" s="42">
        <f>IF($V$18+$V$19&gt;0,1,0)</f>
        <v>0</v>
      </c>
      <c r="X19" s="42">
        <f>IF((T19=U19)*(T19=TRUE)*(U19=TRUE),2,IF((T19=U19),0,1))</f>
        <v>0</v>
      </c>
      <c r="Y19" s="42" t="str">
        <f>IF(Z19=4,"B",IF(Z19=6,"A",""))</f>
        <v/>
      </c>
      <c r="Z19" s="42">
        <f>IF((T19=TRUE)*(U19=FALSE)*(W19=1),4,IF((T19=FALSE)*(U19=TRUE)*(W19=1),6,0))</f>
        <v>0</v>
      </c>
      <c r="AA19" s="42" t="str">
        <f>IF(Z19=0,"",IF(Z19=4,2,3))</f>
        <v/>
      </c>
      <c r="AB19" s="42" t="str">
        <f>IF(Z19=0,"",IF(Z19=4,2,3))</f>
        <v/>
      </c>
    </row>
    <row r="20" spans="1:28" s="10" customFormat="1" ht="18.75" customHeight="1" x14ac:dyDescent="0.3">
      <c r="A20" s="230"/>
      <c r="B20" s="47">
        <v>5</v>
      </c>
      <c r="C20" s="48" t="s">
        <v>36</v>
      </c>
      <c r="D20" s="233" t="str">
        <f>IF(U20,"Matematika+Euklido geometrijos modulis","Matematika")</f>
        <v>Matematika</v>
      </c>
      <c r="E20" s="234"/>
      <c r="F20" s="69"/>
      <c r="G20" s="50"/>
      <c r="H20" s="50"/>
      <c r="I20" s="70" t="str">
        <f t="shared" si="0"/>
        <v/>
      </c>
      <c r="J20" s="50" t="str">
        <f t="shared" si="1"/>
        <v/>
      </c>
      <c r="K20" s="50" t="str">
        <f t="shared" si="1"/>
        <v/>
      </c>
      <c r="L20" s="54"/>
      <c r="M20" s="52"/>
      <c r="N20" s="53"/>
      <c r="O20" s="226" t="str">
        <f>IF(AND(NOT(T20),NOT(U20)),"Privaloma pasirinkti matematikos A arba B kursą",IF(AND(T20,U20),"Galima rinktis tik A arba B kursą",""))</f>
        <v>Privaloma pasirinkti matematikos A arba B kursą</v>
      </c>
      <c r="P20" s="226"/>
      <c r="Q20" s="226"/>
      <c r="R20" s="2"/>
      <c r="S20" s="54" t="str">
        <f t="shared" si="2"/>
        <v>Matematika</v>
      </c>
      <c r="T20" s="55" t="b">
        <v>0</v>
      </c>
      <c r="U20" s="41" t="b">
        <v>0</v>
      </c>
      <c r="V20" s="56">
        <f t="shared" si="3"/>
        <v>0</v>
      </c>
      <c r="W20" s="55"/>
      <c r="X20" s="55"/>
      <c r="Y20" s="56" t="str">
        <f>IF((T20=TRUE)*(Z20=8),"B",IF((U20=TRUE)*(Z20=12),"A",""))</f>
        <v/>
      </c>
      <c r="Z20" s="56">
        <f>IF((T20=TRUE)*(U20=FALSE),8,IF((T20=FALSE)*(U20=TRUE),12,0))</f>
        <v>0</v>
      </c>
      <c r="AA20" s="56" t="str">
        <f>IF(Z20=0,"",IF(Z20=8,4,6))</f>
        <v/>
      </c>
      <c r="AB20" s="56" t="str">
        <f>IF(Z20=0,"",IF(Z20=8,4,6))</f>
        <v/>
      </c>
    </row>
    <row r="21" spans="1:28" s="10" customFormat="1" ht="18.75" customHeight="1" x14ac:dyDescent="0.3">
      <c r="A21" s="230"/>
      <c r="B21" s="223">
        <v>6</v>
      </c>
      <c r="C21" s="231" t="s">
        <v>37</v>
      </c>
      <c r="D21" s="183" t="s">
        <v>38</v>
      </c>
      <c r="E21" s="183"/>
      <c r="F21" s="34"/>
      <c r="G21" s="34"/>
      <c r="H21" s="34"/>
      <c r="I21" s="71" t="str">
        <f t="shared" si="0"/>
        <v/>
      </c>
      <c r="J21" s="35" t="str">
        <f t="shared" si="1"/>
        <v/>
      </c>
      <c r="K21" s="35" t="str">
        <f t="shared" si="1"/>
        <v/>
      </c>
      <c r="L21" s="36"/>
      <c r="M21" s="67"/>
      <c r="N21" s="53"/>
      <c r="O21" s="226" t="str">
        <f>IF(SUM(X21:X23)=0,"Privaloma pasirinkti bent vieną iš gamtos mokslų",IF(OR(X21=2,X22=2,X23=2),"Galima rinktis tik A arba B kursą",""))</f>
        <v>Privaloma pasirinkti bent vieną iš gamtos mokslų</v>
      </c>
      <c r="P21" s="226"/>
      <c r="Q21" s="226"/>
      <c r="R21" s="39"/>
      <c r="S21" s="40" t="str">
        <f t="shared" si="2"/>
        <v>Biologija</v>
      </c>
      <c r="T21" s="41" t="b">
        <v>0</v>
      </c>
      <c r="U21" s="41" t="b">
        <v>0</v>
      </c>
      <c r="V21" s="42">
        <f t="shared" si="3"/>
        <v>0</v>
      </c>
      <c r="W21" s="42">
        <f>IF(((V21=1)+(V22=1)+(V23=1))*((X21=1)+(X21=0))*((X22=1)+(X22=0))*((X22=1)+(X22=0)),1,0)</f>
        <v>0</v>
      </c>
      <c r="X21" s="42">
        <f>IF((T21=U21)*(T21=TRUE)*(U21=TRUE),2,IF((T21=U21),0,1))</f>
        <v>0</v>
      </c>
      <c r="Y21" s="42" t="str">
        <f>IF(Z21=4,"B",IF(Z21=6,"A",""))</f>
        <v/>
      </c>
      <c r="Z21" s="42">
        <f>IF((T21=TRUE)*(U21=FALSE),4,IF((T21=FALSE)*(U21=TRUE),6,0))</f>
        <v>0</v>
      </c>
      <c r="AA21" s="42" t="str">
        <f>IF(Z21=0,"",IF(Z21=4,2,3))</f>
        <v/>
      </c>
      <c r="AB21" s="42" t="str">
        <f>IF(Z21=0,"",IF(Z21=4,2,3))</f>
        <v/>
      </c>
    </row>
    <row r="22" spans="1:28" s="10" customFormat="1" ht="18.75" customHeight="1" x14ac:dyDescent="0.3">
      <c r="A22" s="230"/>
      <c r="B22" s="223"/>
      <c r="C22" s="231"/>
      <c r="D22" s="185" t="s">
        <v>39</v>
      </c>
      <c r="E22" s="185"/>
      <c r="F22" s="72"/>
      <c r="G22" s="72"/>
      <c r="H22" s="72"/>
      <c r="I22" s="73" t="str">
        <f t="shared" si="0"/>
        <v/>
      </c>
      <c r="J22" s="74" t="str">
        <f t="shared" si="1"/>
        <v/>
      </c>
      <c r="K22" s="74" t="str">
        <f t="shared" si="1"/>
        <v/>
      </c>
      <c r="L22" s="75"/>
      <c r="M22" s="76"/>
      <c r="N22" s="53"/>
      <c r="O22" s="226"/>
      <c r="P22" s="226"/>
      <c r="Q22" s="226"/>
      <c r="R22" s="39"/>
      <c r="S22" s="40" t="str">
        <f t="shared" si="2"/>
        <v>Chemija</v>
      </c>
      <c r="T22" s="41" t="b">
        <v>0</v>
      </c>
      <c r="U22" s="41" t="b">
        <v>0</v>
      </c>
      <c r="V22" s="42">
        <f t="shared" si="3"/>
        <v>0</v>
      </c>
      <c r="W22" s="42">
        <f>IF(((V21=1)+(V22=1)+(V23=1))*((X21=1)+(X21=0))*((X22=1)+(X22=0))*((X22=1)+(X22=0)),1,0)</f>
        <v>0</v>
      </c>
      <c r="X22" s="42">
        <f>IF((T22=U22)*(T22=TRUE)*(U22=TRUE),2,IF((T22=U22),0,1))</f>
        <v>0</v>
      </c>
      <c r="Y22" s="42" t="str">
        <f>IF(Z22=4,"B",IF(Z22=7,"A",""))</f>
        <v/>
      </c>
      <c r="Z22" s="42">
        <f>IF((T22=TRUE)*(U22=FALSE),4,IF((T22=FALSE)*(U22=TRUE),7,0))</f>
        <v>0</v>
      </c>
      <c r="AA22" s="42" t="str">
        <f>IF(Z22=0,"",IF(Z22=4,2,3))</f>
        <v/>
      </c>
      <c r="AB22" s="42" t="str">
        <f>IF(Z22=0,"",IF(Z22=4,2,3))</f>
        <v/>
      </c>
    </row>
    <row r="23" spans="1:28" s="10" customFormat="1" ht="18.75" customHeight="1" x14ac:dyDescent="0.3">
      <c r="A23" s="230"/>
      <c r="B23" s="223"/>
      <c r="C23" s="231"/>
      <c r="D23" s="232" t="s">
        <v>40</v>
      </c>
      <c r="E23" s="232"/>
      <c r="F23" s="43"/>
      <c r="G23" s="43"/>
      <c r="H23" s="43"/>
      <c r="I23" s="77" t="str">
        <f t="shared" si="0"/>
        <v/>
      </c>
      <c r="J23" s="44" t="str">
        <f t="shared" si="1"/>
        <v/>
      </c>
      <c r="K23" s="44" t="str">
        <f t="shared" si="1"/>
        <v/>
      </c>
      <c r="L23" s="45"/>
      <c r="M23" s="68"/>
      <c r="N23" s="53"/>
      <c r="O23" s="226"/>
      <c r="P23" s="226"/>
      <c r="Q23" s="226"/>
      <c r="R23" s="39"/>
      <c r="S23" s="40" t="str">
        <f t="shared" si="2"/>
        <v>Fizika</v>
      </c>
      <c r="T23" s="41" t="b">
        <v>0</v>
      </c>
      <c r="U23" s="41" t="b">
        <v>0</v>
      </c>
      <c r="V23" s="42">
        <f t="shared" si="3"/>
        <v>0</v>
      </c>
      <c r="W23" s="42">
        <f>IF(((V21=1)+(V22=1)+(V23=1))*((X21=1)+(X21=0))*((X22=1)+(X22=0))*((X22=1)+(X22=0)),1,0)</f>
        <v>0</v>
      </c>
      <c r="X23" s="42">
        <f>IF((T23=U23)*(T23=TRUE)*(U23=TRUE),2,IF((T23=U23),0,1))</f>
        <v>0</v>
      </c>
      <c r="Y23" s="42" t="str">
        <f>IF(Z23=4,"B",IF(Z23=6,"A",""))</f>
        <v/>
      </c>
      <c r="Z23" s="42">
        <f>IF((T23=TRUE)*(U23=FALSE),4,IF((T23=FALSE)*(U23=TRUE),6,0))</f>
        <v>0</v>
      </c>
      <c r="AA23" s="42" t="str">
        <f>IF(Z23=0,"",IF(Z23=4,2,3))</f>
        <v/>
      </c>
      <c r="AB23" s="42" t="str">
        <f>IF(Z23=0,"",IF(Z23=4,2,4))</f>
        <v/>
      </c>
    </row>
    <row r="24" spans="1:28" s="10" customFormat="1" ht="18.75" customHeight="1" x14ac:dyDescent="0.3">
      <c r="A24" s="230"/>
      <c r="B24" s="223">
        <v>7</v>
      </c>
      <c r="C24" s="231" t="s">
        <v>41</v>
      </c>
      <c r="D24" s="183" t="s">
        <v>42</v>
      </c>
      <c r="E24" s="183"/>
      <c r="F24" s="148"/>
      <c r="G24" s="148"/>
      <c r="H24" s="148"/>
      <c r="I24" s="35" t="str">
        <f t="shared" si="0"/>
        <v/>
      </c>
      <c r="J24" s="35" t="str">
        <f t="shared" si="1"/>
        <v/>
      </c>
      <c r="K24" s="35" t="str">
        <f t="shared" si="1"/>
        <v/>
      </c>
      <c r="L24" s="36"/>
      <c r="M24" s="37" t="s">
        <v>30</v>
      </c>
      <c r="N24" s="38"/>
      <c r="O24" s="226" t="str">
        <f>IF(SUM(X24:X31)=0,"Privaloma pasirinkti bent vieną iš menų ir technologijų mokslų","")</f>
        <v>Privaloma pasirinkti bent vieną iš menų ir technologijų mokslų</v>
      </c>
      <c r="P24" s="226"/>
      <c r="Q24" s="226"/>
      <c r="R24" s="39"/>
      <c r="S24" s="40" t="str">
        <f t="shared" si="2"/>
        <v>Dailė</v>
      </c>
      <c r="T24" s="41" t="b">
        <v>0</v>
      </c>
      <c r="U24" s="41"/>
      <c r="V24" s="42">
        <f>IF((W24=1)*(X24=1),1,0)</f>
        <v>0</v>
      </c>
      <c r="W24" s="42">
        <f>IF(T24,1,0)</f>
        <v>0</v>
      </c>
      <c r="X24" s="42">
        <f>IF(T24,1,0)</f>
        <v>0</v>
      </c>
      <c r="Y24" s="42" t="str">
        <f>IF(Z24=4,"B","")</f>
        <v/>
      </c>
      <c r="Z24" s="42">
        <f>IF((T24=TRUE)*(W24=1),4,0)</f>
        <v>0</v>
      </c>
      <c r="AA24" s="42" t="str">
        <f>IF(Z24=4,2,"")</f>
        <v/>
      </c>
      <c r="AB24" s="42" t="str">
        <f>IF(Z24=4,2,"")</f>
        <v/>
      </c>
    </row>
    <row r="25" spans="1:28" s="10" customFormat="1" ht="18.75" customHeight="1" x14ac:dyDescent="0.3">
      <c r="A25" s="230"/>
      <c r="B25" s="223"/>
      <c r="C25" s="249"/>
      <c r="D25" s="185" t="s">
        <v>69</v>
      </c>
      <c r="E25" s="185"/>
      <c r="F25" s="144"/>
      <c r="G25" s="144"/>
      <c r="H25" s="144"/>
      <c r="I25" s="74" t="str">
        <f t="shared" si="0"/>
        <v/>
      </c>
      <c r="J25" s="74" t="str">
        <f t="shared" si="1"/>
        <v/>
      </c>
      <c r="K25" s="74" t="str">
        <f t="shared" si="1"/>
        <v/>
      </c>
      <c r="L25" s="75"/>
      <c r="M25" s="78" t="s">
        <v>30</v>
      </c>
      <c r="N25" s="38"/>
      <c r="O25" s="226"/>
      <c r="P25" s="226"/>
      <c r="Q25" s="226"/>
      <c r="R25" s="39"/>
      <c r="S25" s="40" t="str">
        <f t="shared" si="2"/>
        <v>Grafinis dizainas</v>
      </c>
      <c r="T25" s="41" t="b">
        <v>0</v>
      </c>
      <c r="U25" s="41"/>
      <c r="V25" s="42">
        <f>IF((T25 +U25)*NOT(T25*U25),1,0)</f>
        <v>0</v>
      </c>
      <c r="W25" s="42">
        <f>IF(((V25=1)+(V26=1)+(V27=1))*((X25=1)+(X25=0))*((X26=1)+(X26=0))*((X26=1)+(X26=0)),1,0)</f>
        <v>0</v>
      </c>
      <c r="X25" s="42">
        <f>IF((T25=U25)*(T25=TRUE)*(U25=TRUE),2,IF((T25=U25),0,1))</f>
        <v>0</v>
      </c>
      <c r="Y25" s="42" t="str">
        <f>IF(Z25=4,"B",IF(Z25=6,"A",""))</f>
        <v/>
      </c>
      <c r="Z25" s="42">
        <f>IF((T25=TRUE)*(U25=FALSE),4,IF((T25=FALSE)*(U25=TRUE),6,0))</f>
        <v>0</v>
      </c>
      <c r="AA25" s="42" t="str">
        <f>IF(Z25=0,"",IF(Z25=4,2,3))</f>
        <v/>
      </c>
      <c r="AB25" s="42" t="str">
        <f>IF(Z25=0,"",IF(Z25=4,2,3))</f>
        <v/>
      </c>
    </row>
    <row r="26" spans="1:28" s="10" customFormat="1" ht="18.75" customHeight="1" x14ac:dyDescent="0.3">
      <c r="A26" s="230"/>
      <c r="B26" s="223"/>
      <c r="C26" s="249"/>
      <c r="D26" s="185" t="s">
        <v>45</v>
      </c>
      <c r="E26" s="185"/>
      <c r="F26" s="144"/>
      <c r="G26" s="144"/>
      <c r="H26" s="144"/>
      <c r="I26" s="74" t="str">
        <f t="shared" si="0"/>
        <v/>
      </c>
      <c r="J26" s="74" t="str">
        <f t="shared" si="1"/>
        <v/>
      </c>
      <c r="K26" s="74" t="str">
        <f t="shared" si="1"/>
        <v/>
      </c>
      <c r="L26" s="75"/>
      <c r="M26" s="78" t="s">
        <v>30</v>
      </c>
      <c r="N26" s="38"/>
      <c r="O26" s="226"/>
      <c r="P26" s="226"/>
      <c r="Q26" s="226"/>
      <c r="R26" s="39"/>
      <c r="S26" s="40" t="str">
        <f t="shared" si="2"/>
        <v>Filmų kūrimas</v>
      </c>
      <c r="T26" s="41" t="b">
        <v>0</v>
      </c>
      <c r="U26" s="41"/>
      <c r="V26" s="42">
        <f t="shared" ref="V26:V33" si="4">IF((W26=1)*(X26=1),1,0)</f>
        <v>0</v>
      </c>
      <c r="W26" s="127">
        <f t="shared" ref="W26:W31" si="5">IF(T26,1,0)</f>
        <v>0</v>
      </c>
      <c r="X26" s="42">
        <f t="shared" ref="X26:X31" si="6">IF(T26,1,0)</f>
        <v>0</v>
      </c>
      <c r="Y26" s="42" t="str">
        <f t="shared" ref="Y26:Y33" si="7">IF(Z26=4,"B","")</f>
        <v/>
      </c>
      <c r="Z26" s="42">
        <f t="shared" ref="Z26:Z31" si="8">IF((T26=TRUE)*(W26=1),4,0)</f>
        <v>0</v>
      </c>
      <c r="AA26" s="42" t="str">
        <f t="shared" ref="AA26:AA33" si="9">IF(Z26=4,2,"")</f>
        <v/>
      </c>
      <c r="AB26" s="42" t="str">
        <f t="shared" ref="AB26:AB33" si="10">IF(Z26=4,2,"")</f>
        <v/>
      </c>
    </row>
    <row r="27" spans="1:28" s="10" customFormat="1" ht="18.75" customHeight="1" x14ac:dyDescent="0.3">
      <c r="A27" s="230"/>
      <c r="B27" s="223"/>
      <c r="C27" s="249"/>
      <c r="D27" s="185" t="s">
        <v>43</v>
      </c>
      <c r="E27" s="185"/>
      <c r="F27" s="144"/>
      <c r="G27" s="144"/>
      <c r="H27" s="144"/>
      <c r="I27" s="74" t="str">
        <f t="shared" si="0"/>
        <v/>
      </c>
      <c r="J27" s="74" t="str">
        <f t="shared" si="1"/>
        <v/>
      </c>
      <c r="K27" s="74" t="str">
        <f t="shared" si="1"/>
        <v/>
      </c>
      <c r="L27" s="75"/>
      <c r="M27" s="78" t="s">
        <v>30</v>
      </c>
      <c r="N27" s="38"/>
      <c r="O27" s="226"/>
      <c r="P27" s="226"/>
      <c r="Q27" s="226"/>
      <c r="R27" s="39"/>
      <c r="S27" s="40" t="str">
        <f t="shared" si="2"/>
        <v>Muzika</v>
      </c>
      <c r="T27" s="41" t="b">
        <v>0</v>
      </c>
      <c r="U27" s="41"/>
      <c r="V27" s="42">
        <f t="shared" si="4"/>
        <v>0</v>
      </c>
      <c r="W27" s="127">
        <f t="shared" si="5"/>
        <v>0</v>
      </c>
      <c r="X27" s="42">
        <f t="shared" si="6"/>
        <v>0</v>
      </c>
      <c r="Y27" s="42" t="str">
        <f t="shared" si="7"/>
        <v/>
      </c>
      <c r="Z27" s="42">
        <f t="shared" si="8"/>
        <v>0</v>
      </c>
      <c r="AA27" s="42" t="str">
        <f t="shared" si="9"/>
        <v/>
      </c>
      <c r="AB27" s="42" t="str">
        <f t="shared" si="10"/>
        <v/>
      </c>
    </row>
    <row r="28" spans="1:28" s="10" customFormat="1" ht="18.75" customHeight="1" x14ac:dyDescent="0.3">
      <c r="A28" s="230"/>
      <c r="B28" s="223"/>
      <c r="C28" s="249"/>
      <c r="D28" s="185" t="s">
        <v>46</v>
      </c>
      <c r="E28" s="185"/>
      <c r="F28" s="144"/>
      <c r="G28" s="144"/>
      <c r="H28" s="144"/>
      <c r="I28" s="74" t="str">
        <f t="shared" si="0"/>
        <v/>
      </c>
      <c r="J28" s="74" t="str">
        <f t="shared" ref="J28:K31" si="11">AA28</f>
        <v/>
      </c>
      <c r="K28" s="74" t="str">
        <f t="shared" si="11"/>
        <v/>
      </c>
      <c r="L28" s="75"/>
      <c r="M28" s="78" t="s">
        <v>30</v>
      </c>
      <c r="N28" s="38"/>
      <c r="O28" s="226"/>
      <c r="P28" s="226"/>
      <c r="Q28" s="226"/>
      <c r="R28" s="39"/>
      <c r="S28" s="40" t="str">
        <f t="shared" si="2"/>
        <v>Šokis</v>
      </c>
      <c r="T28" s="41" t="b">
        <v>0</v>
      </c>
      <c r="U28" s="41"/>
      <c r="V28" s="42">
        <f t="shared" si="4"/>
        <v>0</v>
      </c>
      <c r="W28" s="127">
        <f t="shared" si="5"/>
        <v>0</v>
      </c>
      <c r="X28" s="42">
        <f t="shared" si="6"/>
        <v>0</v>
      </c>
      <c r="Y28" s="42" t="str">
        <f t="shared" si="7"/>
        <v/>
      </c>
      <c r="Z28" s="42">
        <f t="shared" si="8"/>
        <v>0</v>
      </c>
      <c r="AA28" s="42" t="str">
        <f t="shared" si="9"/>
        <v/>
      </c>
      <c r="AB28" s="42" t="str">
        <f t="shared" si="10"/>
        <v/>
      </c>
    </row>
    <row r="29" spans="1:28" s="10" customFormat="1" ht="18.75" customHeight="1" x14ac:dyDescent="0.3">
      <c r="A29" s="230"/>
      <c r="B29" s="223"/>
      <c r="C29" s="249"/>
      <c r="D29" s="185" t="s">
        <v>44</v>
      </c>
      <c r="E29" s="185"/>
      <c r="F29" s="166"/>
      <c r="G29" s="166"/>
      <c r="H29" s="166"/>
      <c r="I29" s="74" t="str">
        <f t="shared" ref="I29" si="12">Y29</f>
        <v/>
      </c>
      <c r="J29" s="74" t="str">
        <f t="shared" ref="J29" si="13">AA29</f>
        <v/>
      </c>
      <c r="K29" s="74" t="str">
        <f t="shared" ref="K29" si="14">AB29</f>
        <v/>
      </c>
      <c r="L29" s="75"/>
      <c r="M29" s="78" t="s">
        <v>30</v>
      </c>
      <c r="N29" s="38"/>
      <c r="O29" s="226"/>
      <c r="P29" s="226"/>
      <c r="Q29" s="226"/>
      <c r="R29" s="165"/>
      <c r="S29" s="40" t="str">
        <f t="shared" ref="S29" si="15">D29</f>
        <v>Teatras</v>
      </c>
      <c r="T29" s="41" t="b">
        <v>0</v>
      </c>
      <c r="U29" s="41"/>
      <c r="V29" s="167">
        <f t="shared" ref="V29" si="16">IF((W29=1)*(X29=1),1,0)</f>
        <v>0</v>
      </c>
      <c r="W29" s="167">
        <f t="shared" ref="W29" si="17">IF(T29,1,0)</f>
        <v>0</v>
      </c>
      <c r="X29" s="167">
        <f t="shared" ref="X29" si="18">IF(T29,1,0)</f>
        <v>0</v>
      </c>
      <c r="Y29" s="167" t="str">
        <f t="shared" ref="Y29" si="19">IF(Z29=4,"B","")</f>
        <v/>
      </c>
      <c r="Z29" s="167">
        <f t="shared" ref="Z29" si="20">IF((T29=TRUE)*(W29=1),4,0)</f>
        <v>0</v>
      </c>
      <c r="AA29" s="167" t="str">
        <f t="shared" ref="AA29" si="21">IF(Z29=4,2,"")</f>
        <v/>
      </c>
      <c r="AB29" s="167" t="str">
        <f t="shared" ref="AB29" si="22">IF(Z29=4,2,"")</f>
        <v/>
      </c>
    </row>
    <row r="30" spans="1:28" s="10" customFormat="1" ht="18.75" customHeight="1" x14ac:dyDescent="0.3">
      <c r="A30" s="230"/>
      <c r="B30" s="223"/>
      <c r="C30" s="249"/>
      <c r="D30" s="185" t="s">
        <v>47</v>
      </c>
      <c r="E30" s="185"/>
      <c r="F30" s="162"/>
      <c r="G30" s="162"/>
      <c r="H30" s="162"/>
      <c r="I30" s="74" t="str">
        <f t="shared" si="0"/>
        <v/>
      </c>
      <c r="J30" s="74" t="str">
        <f t="shared" si="11"/>
        <v/>
      </c>
      <c r="K30" s="74" t="str">
        <f t="shared" si="11"/>
        <v/>
      </c>
      <c r="L30" s="75"/>
      <c r="M30" s="78" t="s">
        <v>30</v>
      </c>
      <c r="N30" s="38"/>
      <c r="O30" s="226"/>
      <c r="P30" s="226"/>
      <c r="Q30" s="226"/>
      <c r="R30" s="161"/>
      <c r="S30" s="40" t="str">
        <f t="shared" si="2"/>
        <v>Turizmas ir mityba</v>
      </c>
      <c r="T30" s="41" t="b">
        <v>0</v>
      </c>
      <c r="U30" s="41"/>
      <c r="V30" s="163">
        <f t="shared" si="4"/>
        <v>0</v>
      </c>
      <c r="W30" s="163">
        <f t="shared" si="5"/>
        <v>0</v>
      </c>
      <c r="X30" s="163">
        <f t="shared" si="6"/>
        <v>0</v>
      </c>
      <c r="Y30" s="163" t="str">
        <f t="shared" si="7"/>
        <v/>
      </c>
      <c r="Z30" s="163">
        <f t="shared" si="8"/>
        <v>0</v>
      </c>
      <c r="AA30" s="163" t="str">
        <f t="shared" si="9"/>
        <v/>
      </c>
      <c r="AB30" s="163" t="str">
        <f t="shared" si="10"/>
        <v/>
      </c>
    </row>
    <row r="31" spans="1:28" s="10" customFormat="1" ht="18.75" customHeight="1" x14ac:dyDescent="0.3">
      <c r="A31" s="230"/>
      <c r="B31" s="223"/>
      <c r="C31" s="249"/>
      <c r="D31" s="190" t="s">
        <v>93</v>
      </c>
      <c r="E31" s="190"/>
      <c r="F31" s="145"/>
      <c r="G31" s="145"/>
      <c r="H31" s="145"/>
      <c r="I31" s="79" t="str">
        <f t="shared" ref="I31:I33" si="23">Y31</f>
        <v/>
      </c>
      <c r="J31" s="79" t="str">
        <f t="shared" si="11"/>
        <v/>
      </c>
      <c r="K31" s="79" t="str">
        <f t="shared" si="11"/>
        <v/>
      </c>
      <c r="L31" s="91"/>
      <c r="M31" s="121" t="s">
        <v>30</v>
      </c>
      <c r="N31" s="38"/>
      <c r="O31" s="226"/>
      <c r="P31" s="226"/>
      <c r="Q31" s="226"/>
      <c r="R31" s="39"/>
      <c r="S31" s="40" t="str">
        <f t="shared" si="2"/>
        <v>Mechanika</v>
      </c>
      <c r="T31" s="41" t="b">
        <v>0</v>
      </c>
      <c r="U31" s="41"/>
      <c r="V31" s="42">
        <f t="shared" si="4"/>
        <v>0</v>
      </c>
      <c r="W31" s="127">
        <f t="shared" si="5"/>
        <v>0</v>
      </c>
      <c r="X31" s="42">
        <f t="shared" si="6"/>
        <v>0</v>
      </c>
      <c r="Y31" s="42" t="str">
        <f t="shared" si="7"/>
        <v/>
      </c>
      <c r="Z31" s="42">
        <f t="shared" si="8"/>
        <v>0</v>
      </c>
      <c r="AA31" s="42" t="str">
        <f t="shared" si="9"/>
        <v/>
      </c>
      <c r="AB31" s="42" t="str">
        <f t="shared" si="10"/>
        <v/>
      </c>
    </row>
    <row r="32" spans="1:28" s="10" customFormat="1" ht="18.75" customHeight="1" x14ac:dyDescent="0.3">
      <c r="A32" s="230"/>
      <c r="B32" s="208">
        <v>8</v>
      </c>
      <c r="C32" s="220" t="s">
        <v>48</v>
      </c>
      <c r="D32" s="183" t="s">
        <v>49</v>
      </c>
      <c r="E32" s="183"/>
      <c r="F32" s="169"/>
      <c r="G32" s="169"/>
      <c r="H32" s="169"/>
      <c r="I32" s="71" t="str">
        <f t="shared" si="23"/>
        <v/>
      </c>
      <c r="J32" s="35" t="str">
        <f t="shared" ref="J32:K33" si="24">AA32</f>
        <v/>
      </c>
      <c r="K32" s="35" t="str">
        <f t="shared" si="24"/>
        <v/>
      </c>
      <c r="L32" s="36"/>
      <c r="M32" s="37" t="s">
        <v>30</v>
      </c>
      <c r="N32" s="38"/>
      <c r="O32" s="248" t="str">
        <f>IF(SUM(X32:X34)=0,"Privaloma pasirinkti kūno kultūros dalyką.",IF(X32+X33+X34&gt;1,"Galima pasirinkti tik vieną kūno kultūros dalyką",""))</f>
        <v>Privaloma pasirinkti kūno kultūros dalyką.</v>
      </c>
      <c r="P32" s="248"/>
      <c r="Q32" s="248"/>
      <c r="R32" s="140"/>
      <c r="S32" s="40" t="str">
        <f t="shared" si="2"/>
        <v>Bendroji kūno kultūra</v>
      </c>
      <c r="T32" s="41" t="b">
        <v>0</v>
      </c>
      <c r="U32" s="41"/>
      <c r="V32" s="141">
        <f t="shared" si="4"/>
        <v>0</v>
      </c>
      <c r="W32" s="141">
        <f>IF((SUM($X$32:$X$34)=1),1,0)</f>
        <v>0</v>
      </c>
      <c r="X32" s="141">
        <f>IF(T32,1,0)</f>
        <v>0</v>
      </c>
      <c r="Y32" s="141" t="str">
        <f t="shared" si="7"/>
        <v/>
      </c>
      <c r="Z32" s="141">
        <f>IF((T32=TRUE)*(W32=1),4,0)</f>
        <v>0</v>
      </c>
      <c r="AA32" s="141" t="str">
        <f t="shared" si="9"/>
        <v/>
      </c>
      <c r="AB32" s="141" t="str">
        <f t="shared" si="10"/>
        <v/>
      </c>
    </row>
    <row r="33" spans="1:28" s="10" customFormat="1" ht="18.75" customHeight="1" x14ac:dyDescent="0.3">
      <c r="A33" s="230"/>
      <c r="B33" s="209"/>
      <c r="C33" s="221"/>
      <c r="D33" s="185" t="s">
        <v>79</v>
      </c>
      <c r="E33" s="185"/>
      <c r="F33" s="168"/>
      <c r="G33" s="168"/>
      <c r="H33" s="168"/>
      <c r="I33" s="73" t="str">
        <f t="shared" si="23"/>
        <v/>
      </c>
      <c r="J33" s="74" t="str">
        <f t="shared" si="24"/>
        <v/>
      </c>
      <c r="K33" s="74" t="str">
        <f t="shared" si="24"/>
        <v/>
      </c>
      <c r="L33" s="75"/>
      <c r="M33" s="78" t="s">
        <v>30</v>
      </c>
      <c r="N33" s="38"/>
      <c r="O33" s="248"/>
      <c r="P33" s="248"/>
      <c r="Q33" s="248"/>
      <c r="R33" s="140"/>
      <c r="S33" s="40" t="str">
        <f t="shared" si="2"/>
        <v>Tinklinis</v>
      </c>
      <c r="T33" s="41" t="b">
        <v>0</v>
      </c>
      <c r="U33" s="41"/>
      <c r="V33" s="141">
        <f t="shared" si="4"/>
        <v>0</v>
      </c>
      <c r="W33" s="141">
        <f>IF((SUM($X$32:$X$34)=1),1,0)</f>
        <v>0</v>
      </c>
      <c r="X33" s="141">
        <f>IF(T33,1,0)</f>
        <v>0</v>
      </c>
      <c r="Y33" s="141" t="str">
        <f t="shared" si="7"/>
        <v/>
      </c>
      <c r="Z33" s="141">
        <f>IF((T33=TRUE)*(W33=1),4,0)</f>
        <v>0</v>
      </c>
      <c r="AA33" s="141" t="str">
        <f t="shared" si="9"/>
        <v/>
      </c>
      <c r="AB33" s="141" t="str">
        <f t="shared" si="10"/>
        <v/>
      </c>
    </row>
    <row r="34" spans="1:28" s="10" customFormat="1" ht="18.75" customHeight="1" x14ac:dyDescent="0.3">
      <c r="A34" s="230"/>
      <c r="B34" s="210"/>
      <c r="C34" s="222"/>
      <c r="D34" s="190" t="s">
        <v>81</v>
      </c>
      <c r="E34" s="190"/>
      <c r="F34" s="170"/>
      <c r="G34" s="170"/>
      <c r="H34" s="170"/>
      <c r="I34" s="130" t="str">
        <f t="shared" ref="I34" si="25">Y34</f>
        <v/>
      </c>
      <c r="J34" s="79" t="str">
        <f t="shared" ref="J34" si="26">AA34</f>
        <v/>
      </c>
      <c r="K34" s="79" t="str">
        <f t="shared" ref="K34" si="27">AB34</f>
        <v/>
      </c>
      <c r="L34" s="91"/>
      <c r="M34" s="121" t="s">
        <v>30</v>
      </c>
      <c r="N34" s="38"/>
      <c r="O34" s="248"/>
      <c r="P34" s="248"/>
      <c r="Q34" s="248"/>
      <c r="R34" s="152"/>
      <c r="S34" s="40" t="str">
        <f t="shared" ref="S34" si="28">D34</f>
        <v>Aerobika</v>
      </c>
      <c r="T34" s="41" t="b">
        <v>0</v>
      </c>
      <c r="U34" s="41"/>
      <c r="V34" s="157">
        <f t="shared" ref="V34" si="29">IF((W34=1)*(X34=1),1,0)</f>
        <v>0</v>
      </c>
      <c r="W34" s="157">
        <f>IF((SUM($X$32:$X$34)=1),1,0)</f>
        <v>0</v>
      </c>
      <c r="X34" s="157">
        <f>IF(T34,1,0)</f>
        <v>0</v>
      </c>
      <c r="Y34" s="157" t="str">
        <f t="shared" ref="Y34" si="30">IF(Z34=4,"B","")</f>
        <v/>
      </c>
      <c r="Z34" s="157">
        <f>IF((T34=TRUE)*(W34=1),4,0)</f>
        <v>0</v>
      </c>
      <c r="AA34" s="157" t="str">
        <f t="shared" ref="AA34" si="31">IF(Z34=4,2,"")</f>
        <v/>
      </c>
      <c r="AB34" s="157" t="str">
        <f t="shared" ref="AB34" si="32">IF(Z34=4,2,"")</f>
        <v/>
      </c>
    </row>
    <row r="35" spans="1:28" s="10" customFormat="1" ht="9.75" customHeight="1" x14ac:dyDescent="0.3">
      <c r="B35" s="38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"/>
      <c r="P35" s="2"/>
      <c r="Q35" s="2"/>
      <c r="R35" s="2"/>
      <c r="S35" s="80"/>
      <c r="V35" s="15"/>
      <c r="W35" s="15"/>
      <c r="X35" s="15"/>
      <c r="Y35" s="15"/>
      <c r="Z35" s="15"/>
      <c r="AA35" s="15"/>
      <c r="AB35" s="15"/>
    </row>
    <row r="36" spans="1:28" s="10" customFormat="1" ht="18" customHeight="1" x14ac:dyDescent="0.3">
      <c r="A36" s="9"/>
      <c r="B36" s="181" t="s">
        <v>50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81"/>
      <c r="O36" s="2"/>
      <c r="P36" s="2"/>
      <c r="Q36" s="2"/>
      <c r="R36" s="2"/>
      <c r="S36" s="80"/>
      <c r="V36" s="15"/>
      <c r="W36" s="15"/>
      <c r="X36" s="15"/>
      <c r="Y36" s="15"/>
    </row>
    <row r="37" spans="1:28" s="10" customFormat="1" ht="18" customHeight="1" x14ac:dyDescent="0.3">
      <c r="A37" s="9"/>
      <c r="B37" s="208">
        <v>9</v>
      </c>
      <c r="C37" s="211" t="s">
        <v>51</v>
      </c>
      <c r="D37" s="183" t="s">
        <v>82</v>
      </c>
      <c r="E37" s="183"/>
      <c r="F37" s="169"/>
      <c r="G37" s="169"/>
      <c r="H37" s="169"/>
      <c r="I37" s="71" t="str">
        <f>Y37</f>
        <v/>
      </c>
      <c r="J37" s="35" t="str">
        <f t="shared" ref="J37:K41" si="33">AA37</f>
        <v/>
      </c>
      <c r="K37" s="35" t="str">
        <f t="shared" si="33"/>
        <v/>
      </c>
      <c r="L37" s="228"/>
      <c r="M37" s="229"/>
      <c r="N37" s="53"/>
      <c r="O37" s="184" t="str">
        <f>IF(OR(X37=2,X41=2,X42=2),"Galima rinktis tik A arba B kursą",IF(SUM(X37:X42)&gt;1,"Galima pasirinkti tik vieną pasirenkamąją užsienio kalbą. Norėdami mokytis tris užsienio kalbas, pasirinkite užsienio kalbą pradedantiesiems. Žr. Nr. 11",""))</f>
        <v/>
      </c>
      <c r="P37" s="184"/>
      <c r="Q37" s="184"/>
      <c r="R37" s="60"/>
      <c r="S37" s="40" t="str">
        <f t="shared" ref="S37:S47" si="34">D37</f>
        <v>Prancūzų kalba (B2)</v>
      </c>
      <c r="T37" s="41" t="b">
        <v>0</v>
      </c>
      <c r="U37" s="41" t="b">
        <v>0</v>
      </c>
      <c r="V37" s="82">
        <f>IF((T37 +U37)*NOT(T37*U37),1,0)</f>
        <v>0</v>
      </c>
      <c r="W37" s="82">
        <f>IF((V37+V41+V42=1)*(X37+X41+X42=1)+(T37=FALSE)*(T41=FALSE)*(T42=FALSE)*(U37=FALSE)*(U41=FALSE)*(U42=FALSE),1,0)</f>
        <v>1</v>
      </c>
      <c r="X37" s="42">
        <f t="shared" ref="X37:X42" si="35">IF((T37=U37)*(T37=TRUE)*(U37=TRUE),2,IF((T37=U37),0,1))</f>
        <v>0</v>
      </c>
      <c r="Y37" s="82" t="str">
        <f>IF(Z37=6,"B2","")</f>
        <v/>
      </c>
      <c r="Z37" s="82">
        <f t="shared" ref="Z37:Z42" si="36">IF((T37=TRUE)*(U37=FALSE)*(W37=1),4,IF((T37=FALSE)*(U37=TRUE)*(W37=1),6,0))</f>
        <v>0</v>
      </c>
      <c r="AA37" s="42" t="str">
        <f t="shared" ref="AA37:AA42" si="37">IF(Z37=0,"",IF(Z37=4,2,3))</f>
        <v/>
      </c>
      <c r="AB37" s="42" t="str">
        <f t="shared" ref="AB37:AB42" si="38">IF(Z37=0,"",IF(Z37=4,2,3))</f>
        <v/>
      </c>
    </row>
    <row r="38" spans="1:28" s="10" customFormat="1" ht="18" customHeight="1" x14ac:dyDescent="0.3">
      <c r="A38" s="9"/>
      <c r="B38" s="209"/>
      <c r="C38" s="212"/>
      <c r="D38" s="185" t="s">
        <v>70</v>
      </c>
      <c r="E38" s="185"/>
      <c r="F38" s="168"/>
      <c r="G38" s="168"/>
      <c r="H38" s="168"/>
      <c r="I38" s="73" t="str">
        <f t="shared" ref="I38" si="39">Y38</f>
        <v/>
      </c>
      <c r="J38" s="74" t="str">
        <f>AA38</f>
        <v/>
      </c>
      <c r="K38" s="74" t="str">
        <f>AB38</f>
        <v/>
      </c>
      <c r="L38" s="186"/>
      <c r="M38" s="187"/>
      <c r="N38" s="53"/>
      <c r="O38" s="184"/>
      <c r="P38" s="184"/>
      <c r="Q38" s="184"/>
      <c r="R38" s="160"/>
      <c r="S38" s="40" t="str">
        <f t="shared" ref="S38" si="40">D38</f>
        <v>Prancūzų kalba (B1)</v>
      </c>
      <c r="T38" s="41" t="b">
        <v>0</v>
      </c>
      <c r="U38" s="41" t="b">
        <v>0</v>
      </c>
      <c r="V38" s="82">
        <f>IF((T38+U38)*NOT(T38*U38),1,0)</f>
        <v>0</v>
      </c>
      <c r="W38" s="82">
        <f>IF((V36+V38+V39+V41=1)*(X36+X38+X39+X41=1)+(T36=FALSE)*(T38=FALSE)*(T39=FALSE)*(T41=FALSE)*(U36=FALSE)*(U38=FALSE)*(U39=FALSE)*(U41=FALSE),1,0)</f>
        <v>1</v>
      </c>
      <c r="X38" s="159">
        <f t="shared" ref="X38" si="41">IF((T38=U38)*(T38=TRUE)*(U38=TRUE),2,IF((T38=U38),0,1))</f>
        <v>0</v>
      </c>
      <c r="Y38" s="82" t="str">
        <f>IF(Z38=6,"B1","")</f>
        <v/>
      </c>
      <c r="Z38" s="82">
        <f t="shared" ref="Z38" si="42">IF((T38=TRUE)*(U38=FALSE)*(W38=1),4,IF((T38=FALSE)*(U38=TRUE)*(W38=1),6,0))</f>
        <v>0</v>
      </c>
      <c r="AA38" s="159" t="str">
        <f t="shared" ref="AA38" si="43">IF(Z38=0,"",IF(Z38=4,2,3))</f>
        <v/>
      </c>
      <c r="AB38" s="159" t="str">
        <f t="shared" ref="AB38" si="44">IF(Z38=0,"",IF(Z38=4,2,3))</f>
        <v/>
      </c>
    </row>
    <row r="39" spans="1:28" s="10" customFormat="1" ht="18" customHeight="1" x14ac:dyDescent="0.3">
      <c r="A39" s="9"/>
      <c r="B39" s="209"/>
      <c r="C39" s="212"/>
      <c r="D39" s="185" t="s">
        <v>76</v>
      </c>
      <c r="E39" s="185"/>
      <c r="F39" s="168"/>
      <c r="G39" s="168"/>
      <c r="H39" s="168"/>
      <c r="I39" s="73" t="str">
        <f t="shared" ref="I39:I47" si="45">Y39</f>
        <v/>
      </c>
      <c r="J39" s="74" t="str">
        <f>AA39</f>
        <v/>
      </c>
      <c r="K39" s="74" t="str">
        <f>AB39</f>
        <v/>
      </c>
      <c r="L39" s="186"/>
      <c r="M39" s="187"/>
      <c r="N39" s="53"/>
      <c r="O39" s="184"/>
      <c r="P39" s="184"/>
      <c r="Q39" s="184"/>
      <c r="R39" s="131"/>
      <c r="S39" s="40" t="str">
        <f t="shared" si="34"/>
        <v>Rusų kalba (B2)</v>
      </c>
      <c r="T39" s="41" t="b">
        <v>0</v>
      </c>
      <c r="U39" s="41" t="b">
        <v>0</v>
      </c>
      <c r="V39" s="82">
        <f>IF((T39+U39)*NOT(T39*U39),1,0)</f>
        <v>0</v>
      </c>
      <c r="W39" s="82">
        <f>IF((V37+V39+V41+V42=1)*(X37+X39+X41+X42=1)+(T37=FALSE)*(T39=FALSE)*(T41=FALSE)*(T42=FALSE)*(U37=FALSE)*(U39=FALSE)*(U41=FALSE)*(U42=FALSE),1,0)</f>
        <v>1</v>
      </c>
      <c r="X39" s="132">
        <f t="shared" si="35"/>
        <v>0</v>
      </c>
      <c r="Y39" s="82" t="str">
        <f>IF(Z39=6,"B2","")</f>
        <v/>
      </c>
      <c r="Z39" s="82">
        <f t="shared" si="36"/>
        <v>0</v>
      </c>
      <c r="AA39" s="132" t="str">
        <f t="shared" si="37"/>
        <v/>
      </c>
      <c r="AB39" s="132" t="str">
        <f t="shared" si="38"/>
        <v/>
      </c>
    </row>
    <row r="40" spans="1:28" s="10" customFormat="1" ht="18" customHeight="1" x14ac:dyDescent="0.3">
      <c r="A40" s="9"/>
      <c r="B40" s="209"/>
      <c r="C40" s="212"/>
      <c r="D40" s="185" t="s">
        <v>71</v>
      </c>
      <c r="E40" s="185"/>
      <c r="F40" s="168"/>
      <c r="G40" s="168"/>
      <c r="H40" s="168"/>
      <c r="I40" s="73" t="str">
        <f t="shared" ref="I40" si="46">Y40</f>
        <v/>
      </c>
      <c r="J40" s="74" t="str">
        <f t="shared" ref="J40" si="47">AA40</f>
        <v/>
      </c>
      <c r="K40" s="74" t="str">
        <f t="shared" ref="K40" si="48">AB40</f>
        <v/>
      </c>
      <c r="L40" s="186"/>
      <c r="M40" s="187"/>
      <c r="N40" s="53"/>
      <c r="O40" s="184"/>
      <c r="P40" s="184"/>
      <c r="Q40" s="184"/>
      <c r="R40" s="160"/>
      <c r="S40" s="40" t="str">
        <f t="shared" ref="S40" si="49">D40</f>
        <v>Rusų kalba (B1)</v>
      </c>
      <c r="T40" s="41" t="b">
        <v>0</v>
      </c>
      <c r="U40" s="41" t="b">
        <v>0</v>
      </c>
      <c r="V40" s="82">
        <f>IF((T40+U40)*NOT(T40*U40),1,0)</f>
        <v>0</v>
      </c>
      <c r="W40" s="82">
        <f>IF((V36+V40+V41=1)*(X36+X40+X41=1)+(T36=FALSE)*(T40=FALSE)*(T41=FALSE)*(U36=FALSE)*(U40=FALSE)*(U41=FALSE),1,0)</f>
        <v>1</v>
      </c>
      <c r="X40" s="159">
        <f t="shared" ref="X40" si="50">IF((T40=U40)*(T40=TRUE)*(U40=TRUE),2,IF((T40=U40),0,1))</f>
        <v>0</v>
      </c>
      <c r="Y40" s="82" t="str">
        <f>IF(Z40=6,"B1","")</f>
        <v/>
      </c>
      <c r="Z40" s="82">
        <f t="shared" ref="Z40" si="51">IF((T40=TRUE)*(U40=FALSE)*(W40=1),4,IF((T40=FALSE)*(U40=TRUE)*(W40=1),6,0))</f>
        <v>0</v>
      </c>
      <c r="AA40" s="159" t="str">
        <f t="shared" ref="AA40" si="52">IF(Z40=0,"",IF(Z40=4,2,3))</f>
        <v/>
      </c>
      <c r="AB40" s="159" t="str">
        <f t="shared" ref="AB40" si="53">IF(Z40=0,"",IF(Z40=4,2,3))</f>
        <v/>
      </c>
    </row>
    <row r="41" spans="1:28" s="10" customFormat="1" ht="18" customHeight="1" x14ac:dyDescent="0.3">
      <c r="A41" s="9"/>
      <c r="B41" s="209"/>
      <c r="C41" s="212"/>
      <c r="D41" s="185" t="s">
        <v>83</v>
      </c>
      <c r="E41" s="185"/>
      <c r="F41" s="168"/>
      <c r="G41" s="168"/>
      <c r="H41" s="168"/>
      <c r="I41" s="73" t="str">
        <f t="shared" si="45"/>
        <v/>
      </c>
      <c r="J41" s="74" t="str">
        <f t="shared" si="33"/>
        <v/>
      </c>
      <c r="K41" s="74" t="str">
        <f t="shared" si="33"/>
        <v/>
      </c>
      <c r="L41" s="186"/>
      <c r="M41" s="187"/>
      <c r="N41" s="53"/>
      <c r="O41" s="184"/>
      <c r="P41" s="184"/>
      <c r="Q41" s="184"/>
      <c r="R41" s="60"/>
      <c r="S41" s="40" t="str">
        <f t="shared" si="34"/>
        <v>Vokiečių kalba (B2)</v>
      </c>
      <c r="T41" s="41" t="b">
        <v>0</v>
      </c>
      <c r="U41" s="41" t="b">
        <v>0</v>
      </c>
      <c r="V41" s="82">
        <f>IF((T41+U41)*NOT(T41*U41),1,0)</f>
        <v>0</v>
      </c>
      <c r="W41" s="82">
        <f>IF((V37+V41+V42=1)*(X37+X41+X42=1)+(T37=FALSE)*(T41=FALSE)*(T42=FALSE)*(U37=FALSE)*(U41=FALSE)*(U42=FALSE),1,0)</f>
        <v>1</v>
      </c>
      <c r="X41" s="42">
        <f t="shared" si="35"/>
        <v>0</v>
      </c>
      <c r="Y41" s="82" t="str">
        <f>IF(Z41=6,"B2","")</f>
        <v/>
      </c>
      <c r="Z41" s="82">
        <f t="shared" si="36"/>
        <v>0</v>
      </c>
      <c r="AA41" s="42" t="str">
        <f t="shared" si="37"/>
        <v/>
      </c>
      <c r="AB41" s="42" t="str">
        <f t="shared" si="38"/>
        <v/>
      </c>
    </row>
    <row r="42" spans="1:28" s="10" customFormat="1" ht="18" customHeight="1" x14ac:dyDescent="0.3">
      <c r="A42" s="9"/>
      <c r="B42" s="210"/>
      <c r="C42" s="213"/>
      <c r="D42" s="190" t="s">
        <v>72</v>
      </c>
      <c r="E42" s="190"/>
      <c r="F42" s="170"/>
      <c r="G42" s="170"/>
      <c r="H42" s="170"/>
      <c r="I42" s="130" t="str">
        <f t="shared" si="45"/>
        <v/>
      </c>
      <c r="J42" s="79" t="str">
        <f t="shared" ref="J42:K42" si="54">AA42</f>
        <v/>
      </c>
      <c r="K42" s="79" t="str">
        <f t="shared" si="54"/>
        <v/>
      </c>
      <c r="L42" s="188"/>
      <c r="M42" s="189"/>
      <c r="N42" s="53"/>
      <c r="O42" s="184"/>
      <c r="P42" s="184"/>
      <c r="Q42" s="184"/>
      <c r="R42" s="125"/>
      <c r="S42" s="40" t="str">
        <f t="shared" si="34"/>
        <v>Vokiečių kalba (B1)</v>
      </c>
      <c r="T42" s="41" t="b">
        <v>0</v>
      </c>
      <c r="U42" s="41" t="b">
        <v>0</v>
      </c>
      <c r="V42" s="82">
        <f>IF((T42+U42)*NOT(T42*U42),1,0)</f>
        <v>0</v>
      </c>
      <c r="W42" s="82">
        <f>IF((V37+V41+V42=1)*(X37+X41+X42=1)+(T37=FALSE)*(T41=FALSE)*(T42=FALSE)*(U37=FALSE)*(U41=FALSE)*(U42=FALSE),1,0)</f>
        <v>1</v>
      </c>
      <c r="X42" s="126">
        <f t="shared" si="35"/>
        <v>0</v>
      </c>
      <c r="Y42" s="82" t="str">
        <f>IF(Z42=6,"B1","")</f>
        <v/>
      </c>
      <c r="Z42" s="82">
        <f t="shared" si="36"/>
        <v>0</v>
      </c>
      <c r="AA42" s="126" t="str">
        <f t="shared" si="37"/>
        <v/>
      </c>
      <c r="AB42" s="126" t="str">
        <f t="shared" si="38"/>
        <v/>
      </c>
    </row>
    <row r="43" spans="1:28" ht="10.199999999999999" customHeight="1" x14ac:dyDescent="0.3"/>
    <row r="44" spans="1:28" s="10" customFormat="1" ht="18.899999999999999" customHeight="1" x14ac:dyDescent="0.3">
      <c r="B44" s="202" t="s">
        <v>50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176"/>
      <c r="N44" s="33"/>
      <c r="O44" s="2"/>
      <c r="P44" s="2"/>
      <c r="Q44" s="2"/>
      <c r="R44" s="2"/>
      <c r="S44" s="80" t="s">
        <v>54</v>
      </c>
      <c r="V44" s="15"/>
      <c r="W44" s="15"/>
      <c r="X44" s="15"/>
      <c r="Y44" s="15"/>
      <c r="Z44" s="15"/>
      <c r="AA44" s="15"/>
      <c r="AB44" s="15"/>
    </row>
    <row r="45" spans="1:28" s="10" customFormat="1" ht="18" customHeight="1" x14ac:dyDescent="0.3">
      <c r="A45" s="9"/>
      <c r="B45" s="209">
        <v>10</v>
      </c>
      <c r="C45" s="214" t="s">
        <v>52</v>
      </c>
      <c r="D45" s="216" t="s">
        <v>52</v>
      </c>
      <c r="E45" s="217"/>
      <c r="F45" s="177"/>
      <c r="G45" s="177"/>
      <c r="H45" s="177"/>
      <c r="I45" s="172" t="str">
        <f t="shared" si="45"/>
        <v/>
      </c>
      <c r="J45" s="178" t="str">
        <f t="shared" ref="J45:K47" si="55">AA45</f>
        <v/>
      </c>
      <c r="K45" s="178" t="str">
        <f t="shared" si="55"/>
        <v/>
      </c>
      <c r="L45" s="179"/>
      <c r="M45" s="180" t="s">
        <v>30</v>
      </c>
      <c r="N45" s="53"/>
      <c r="O45" s="226" t="str">
        <f>IF(X45=2,"Galima rinktis tik A arba B kursą","")</f>
        <v/>
      </c>
      <c r="P45" s="226"/>
      <c r="Q45" s="226"/>
      <c r="R45" s="2"/>
      <c r="S45" s="40" t="str">
        <f t="shared" si="34"/>
        <v>Informacinės technologijos</v>
      </c>
      <c r="T45" s="41" t="b">
        <v>0</v>
      </c>
      <c r="U45" s="41"/>
      <c r="V45" s="42">
        <f>IF(T45,1,0)</f>
        <v>0</v>
      </c>
      <c r="W45" s="236">
        <f>SUM(V45:V47)</f>
        <v>0</v>
      </c>
      <c r="X45" s="236">
        <f>IF(V45=1,(IF(SUM(V46:V47)&gt;0,2,1)),(IF(SUM(V46:V47)=1,1,IF(SUM(V46:V47)=0,0,3))))</f>
        <v>0</v>
      </c>
      <c r="Y45" s="42" t="str">
        <f>IF(Z45=2,"B",IF(Z45=4,"A",""))</f>
        <v/>
      </c>
      <c r="Z45" s="42">
        <f>IF($W$45,IF($T$45,2,0),0)</f>
        <v>0</v>
      </c>
      <c r="AA45" s="42" t="str">
        <f>IF(Z45=0,"",IF(Z45=2,1,2))</f>
        <v/>
      </c>
      <c r="AB45" s="42" t="str">
        <f>IF(Z45=0,"",IF(Z45=4,2,1))</f>
        <v/>
      </c>
    </row>
    <row r="46" spans="1:28" s="10" customFormat="1" ht="18" customHeight="1" x14ac:dyDescent="0.3">
      <c r="A46" s="9"/>
      <c r="B46" s="209"/>
      <c r="C46" s="214"/>
      <c r="D46" s="204" t="s">
        <v>84</v>
      </c>
      <c r="E46" s="205"/>
      <c r="F46" s="154"/>
      <c r="G46" s="154"/>
      <c r="H46" s="154"/>
      <c r="I46" s="73" t="str">
        <f t="shared" si="45"/>
        <v/>
      </c>
      <c r="J46" s="74" t="str">
        <f t="shared" si="55"/>
        <v/>
      </c>
      <c r="K46" s="74" t="str">
        <f t="shared" si="55"/>
        <v/>
      </c>
      <c r="L46" s="78" t="s">
        <v>30</v>
      </c>
      <c r="M46" s="133"/>
      <c r="N46" s="53"/>
      <c r="O46" s="226"/>
      <c r="P46" s="226"/>
      <c r="Q46" s="226"/>
      <c r="R46" s="2"/>
      <c r="S46" s="40" t="str">
        <f t="shared" si="34"/>
        <v>IT (programavimas C++)</v>
      </c>
      <c r="T46" s="41"/>
      <c r="U46" s="41" t="b">
        <v>0</v>
      </c>
      <c r="V46" s="42">
        <f>IF(U46,1,0)</f>
        <v>0</v>
      </c>
      <c r="W46" s="237"/>
      <c r="X46" s="237"/>
      <c r="Y46" s="42" t="str">
        <f>IF(Z46=2,"B",IF(Z46=4,"A",""))</f>
        <v/>
      </c>
      <c r="Z46" s="42">
        <f>IF($W$45,IF(AND($T$45=FALSE,U46),4,0),0)</f>
        <v>0</v>
      </c>
      <c r="AA46" s="42" t="str">
        <f>IF(Z46=0,"",IF(Z46=2,1,2))</f>
        <v/>
      </c>
      <c r="AB46" s="42" t="str">
        <f>IF(Z46=0,"",IF(Z46=4,2,1))</f>
        <v/>
      </c>
    </row>
    <row r="47" spans="1:28" s="10" customFormat="1" ht="18" hidden="1" customHeight="1" x14ac:dyDescent="0.3">
      <c r="A47" s="9"/>
      <c r="B47" s="210"/>
      <c r="C47" s="215"/>
      <c r="D47" s="206" t="s">
        <v>53</v>
      </c>
      <c r="E47" s="207"/>
      <c r="F47" s="153"/>
      <c r="G47" s="153"/>
      <c r="H47" s="153"/>
      <c r="I47" s="130" t="str">
        <f t="shared" si="45"/>
        <v/>
      </c>
      <c r="J47" s="79" t="str">
        <f t="shared" si="55"/>
        <v/>
      </c>
      <c r="K47" s="79" t="str">
        <f t="shared" si="55"/>
        <v/>
      </c>
      <c r="L47" s="121" t="s">
        <v>30</v>
      </c>
      <c r="M47" s="171"/>
      <c r="N47" s="53"/>
      <c r="O47" s="226"/>
      <c r="P47" s="226"/>
      <c r="Q47" s="226"/>
      <c r="R47" s="2"/>
      <c r="S47" s="40" t="str">
        <f t="shared" si="34"/>
        <v>IT (elektroninė leidyba)</v>
      </c>
      <c r="T47" s="41"/>
      <c r="U47" s="41" t="b">
        <v>0</v>
      </c>
      <c r="V47" s="42">
        <f>IF(U47,1,0)</f>
        <v>0</v>
      </c>
      <c r="W47" s="237"/>
      <c r="X47" s="237"/>
      <c r="Y47" s="42" t="str">
        <f>IF(Z47=2,"",IF(Z47=4,"A",""))</f>
        <v/>
      </c>
      <c r="Z47" s="42">
        <f>IF($W$45,IF(AND($T$45=FALSE,U47,U46=FALSE),4,IF(AND($T$45=FALSE,U47,U46),2,0)),0)</f>
        <v>0</v>
      </c>
      <c r="AA47" s="42" t="str">
        <f>IF(Z47=0,"",IF(Z47=2,1,2))</f>
        <v/>
      </c>
      <c r="AB47" s="42" t="str">
        <f>IF(Z47=0,"",IF(Z47=4,2,1))</f>
        <v/>
      </c>
    </row>
    <row r="48" spans="1:28" s="10" customFormat="1" ht="16.5" customHeight="1" x14ac:dyDescent="0.3">
      <c r="A48" s="9"/>
      <c r="B48" s="208">
        <v>11</v>
      </c>
      <c r="C48" s="211" t="s">
        <v>78</v>
      </c>
      <c r="D48" s="218" t="s">
        <v>86</v>
      </c>
      <c r="E48" s="219"/>
      <c r="F48" s="83"/>
      <c r="G48" s="83"/>
      <c r="H48" s="83"/>
      <c r="I48" s="84" t="str">
        <f t="shared" ref="I48:I62" si="56">Y48</f>
        <v/>
      </c>
      <c r="J48" s="35" t="str">
        <f t="shared" ref="J48:K62" si="57">AA48</f>
        <v/>
      </c>
      <c r="K48" s="35" t="str">
        <f t="shared" si="57"/>
        <v/>
      </c>
      <c r="L48" s="36"/>
      <c r="M48" s="53"/>
      <c r="N48" s="53"/>
      <c r="O48" s="184" t="str">
        <f>IF(SUM(V48:V51)&gt;1,"Galima pasirinkti tik vieną užsienio kalbą pradedantiesiems.",IF(OR(V48*V37=1,V51*V42=1),"Užsienio kalba pradedantiesiems negalima rinktis kalbos, kurią pasirinkote kaip privalomąją arba pasirenkamąją",""))</f>
        <v/>
      </c>
      <c r="P48" s="184"/>
      <c r="Q48" s="184"/>
      <c r="R48" s="60"/>
      <c r="S48" s="40" t="str">
        <f>D48</f>
        <v>Ispanų kalba (A1)</v>
      </c>
      <c r="T48" s="41" t="b">
        <v>0</v>
      </c>
      <c r="U48" s="41" t="b">
        <v>0</v>
      </c>
      <c r="V48" s="82">
        <f>IF(T48,1,0)</f>
        <v>0</v>
      </c>
      <c r="W48" s="42">
        <f>IF(SUM($V$48:$V$51)&lt;=1,1,0)</f>
        <v>1</v>
      </c>
      <c r="X48" s="82"/>
      <c r="Y48" s="42" t="str">
        <f>IF(Z48=6,"A1","")</f>
        <v/>
      </c>
      <c r="Z48" s="42">
        <f>IF((T48=TRUE)*(W48=1),6,0)</f>
        <v>0</v>
      </c>
      <c r="AA48" s="42" t="str">
        <f>IF(Z48=6,3,"")</f>
        <v/>
      </c>
      <c r="AB48" s="42" t="str">
        <f>IF(Z48=6,3,"")</f>
        <v/>
      </c>
    </row>
    <row r="49" spans="1:28" s="10" customFormat="1" ht="16.5" customHeight="1" x14ac:dyDescent="0.3">
      <c r="A49" s="9"/>
      <c r="B49" s="209"/>
      <c r="C49" s="212"/>
      <c r="D49" s="204" t="s">
        <v>87</v>
      </c>
      <c r="E49" s="205"/>
      <c r="F49" s="134"/>
      <c r="G49" s="134"/>
      <c r="H49" s="134"/>
      <c r="I49" s="135" t="str">
        <f>Y49</f>
        <v/>
      </c>
      <c r="J49" s="74" t="str">
        <f>AA49</f>
        <v/>
      </c>
      <c r="K49" s="74" t="str">
        <f>AB49</f>
        <v/>
      </c>
      <c r="L49" s="75"/>
      <c r="M49" s="53"/>
      <c r="N49" s="53"/>
      <c r="O49" s="184"/>
      <c r="P49" s="184"/>
      <c r="Q49" s="184"/>
      <c r="R49" s="160"/>
      <c r="S49" s="40" t="str">
        <f>D49</f>
        <v>Prancūzų kalba (A1)</v>
      </c>
      <c r="T49" s="41" t="b">
        <v>0</v>
      </c>
      <c r="U49" s="41" t="b">
        <v>0</v>
      </c>
      <c r="V49" s="82">
        <f>IF(T49,1,0)</f>
        <v>0</v>
      </c>
      <c r="W49" s="159">
        <f>IF(SUM($V$48:$V$51)&lt;=1,1,0)</f>
        <v>1</v>
      </c>
      <c r="X49" s="82">
        <f>IF(OR(V49*V38=1,V49*V40=1),0,1)</f>
        <v>1</v>
      </c>
      <c r="Y49" s="159" t="str">
        <f>IF(Z49=6,"A1","")</f>
        <v/>
      </c>
      <c r="Z49" s="159">
        <f>IF((T49=TRUE)*(W49=1)*(X49=1),6,0)</f>
        <v>0</v>
      </c>
      <c r="AA49" s="159" t="str">
        <f>IF(Z49=6,3,"")</f>
        <v/>
      </c>
      <c r="AB49" s="159" t="str">
        <f>IF(Z49=6,3,"")</f>
        <v/>
      </c>
    </row>
    <row r="50" spans="1:28" s="10" customFormat="1" ht="16.5" customHeight="1" x14ac:dyDescent="0.3">
      <c r="A50" s="9"/>
      <c r="B50" s="209"/>
      <c r="C50" s="212"/>
      <c r="D50" s="204" t="s">
        <v>88</v>
      </c>
      <c r="E50" s="205"/>
      <c r="F50" s="134"/>
      <c r="G50" s="134"/>
      <c r="H50" s="134"/>
      <c r="I50" s="135" t="str">
        <f>Y50</f>
        <v/>
      </c>
      <c r="J50" s="74" t="str">
        <f>AA50</f>
        <v/>
      </c>
      <c r="K50" s="74" t="str">
        <f>AB50</f>
        <v/>
      </c>
      <c r="L50" s="75"/>
      <c r="M50" s="53"/>
      <c r="N50" s="53"/>
      <c r="O50" s="184"/>
      <c r="P50" s="184"/>
      <c r="Q50" s="184"/>
      <c r="R50" s="150"/>
      <c r="S50" s="40" t="str">
        <f>D50</f>
        <v>Rusų kalba (A1)</v>
      </c>
      <c r="T50" s="41" t="b">
        <v>0</v>
      </c>
      <c r="U50" s="41" t="b">
        <v>0</v>
      </c>
      <c r="V50" s="82">
        <f>IF(T50,1,0)</f>
        <v>0</v>
      </c>
      <c r="W50" s="149">
        <f>IF(SUM($V$48:$V$51)&lt;=1,1,0)</f>
        <v>1</v>
      </c>
      <c r="X50" s="82">
        <f>IF(OR(V50*V39=1,V50*V41=1),0,1)</f>
        <v>1</v>
      </c>
      <c r="Y50" s="149" t="str">
        <f>IF(Z50=6,"A1","")</f>
        <v/>
      </c>
      <c r="Z50" s="149">
        <f>IF((T50=TRUE)*(W50=1)*(X50=1),6,0)</f>
        <v>0</v>
      </c>
      <c r="AA50" s="149" t="str">
        <f>IF(Z50=6,3,"")</f>
        <v/>
      </c>
      <c r="AB50" s="149" t="str">
        <f>IF(Z50=6,3,"")</f>
        <v/>
      </c>
    </row>
    <row r="51" spans="1:28" s="10" customFormat="1" ht="16.5" customHeight="1" x14ac:dyDescent="0.3">
      <c r="A51" s="9"/>
      <c r="B51" s="210"/>
      <c r="C51" s="213"/>
      <c r="D51" s="206" t="s">
        <v>89</v>
      </c>
      <c r="E51" s="207"/>
      <c r="F51" s="136"/>
      <c r="G51" s="136"/>
      <c r="H51" s="136"/>
      <c r="I51" s="137" t="str">
        <f t="shared" si="56"/>
        <v/>
      </c>
      <c r="J51" s="79" t="str">
        <f t="shared" si="57"/>
        <v/>
      </c>
      <c r="K51" s="79" t="str">
        <f t="shared" si="57"/>
        <v/>
      </c>
      <c r="L51" s="91"/>
      <c r="M51" s="53"/>
      <c r="N51" s="53"/>
      <c r="O51" s="184"/>
      <c r="P51" s="184"/>
      <c r="Q51" s="184"/>
      <c r="R51" s="60"/>
      <c r="S51" s="40" t="str">
        <f>D51</f>
        <v>Vokiečių kalba (A1)</v>
      </c>
      <c r="T51" s="41" t="b">
        <v>0</v>
      </c>
      <c r="U51" s="41" t="b">
        <v>0</v>
      </c>
      <c r="V51" s="82">
        <f t="shared" ref="V51:V62" si="58">IF(T51,1,0)</f>
        <v>0</v>
      </c>
      <c r="W51" s="42">
        <f>IF(SUM($V$48:$V$51)&lt;=1,1,0)</f>
        <v>1</v>
      </c>
      <c r="X51" s="82">
        <f>IF(OR(V51*V37=1,V51*V17=1),0,1)</f>
        <v>1</v>
      </c>
      <c r="Y51" s="42" t="str">
        <f>IF(Z51=6,"A1","")</f>
        <v/>
      </c>
      <c r="Z51" s="42">
        <f>IF((T51=TRUE)*(W51=1)*(X51=1),6,0)</f>
        <v>0</v>
      </c>
      <c r="AA51" s="42" t="str">
        <f>IF(Z51=6,3,"")</f>
        <v/>
      </c>
      <c r="AB51" s="42" t="str">
        <f>IF(Z51=6,3,"")</f>
        <v/>
      </c>
    </row>
    <row r="52" spans="1:28" s="10" customFormat="1" ht="16.5" customHeight="1" x14ac:dyDescent="0.3">
      <c r="A52" s="9"/>
      <c r="B52" s="124">
        <v>12</v>
      </c>
      <c r="C52" s="199" t="s">
        <v>73</v>
      </c>
      <c r="D52" s="200"/>
      <c r="E52" s="201"/>
      <c r="F52" s="85"/>
      <c r="G52" s="85"/>
      <c r="H52" s="85"/>
      <c r="I52" s="86" t="str">
        <f t="shared" si="56"/>
        <v/>
      </c>
      <c r="J52" s="87" t="str">
        <f t="shared" si="57"/>
        <v/>
      </c>
      <c r="K52" s="87" t="str">
        <f t="shared" si="57"/>
        <v/>
      </c>
      <c r="L52" s="88"/>
      <c r="M52" s="9"/>
      <c r="O52" s="2"/>
      <c r="P52" s="2"/>
      <c r="Q52" s="2"/>
      <c r="R52" s="2"/>
      <c r="S52" s="40" t="str">
        <f>C52</f>
        <v>Ekonomika</v>
      </c>
      <c r="T52" s="41" t="b">
        <v>0</v>
      </c>
      <c r="U52" s="41"/>
      <c r="V52" s="82">
        <f t="shared" si="58"/>
        <v>0</v>
      </c>
      <c r="W52" s="126"/>
      <c r="X52" s="126"/>
      <c r="Y52" s="126" t="str">
        <f>IF(Z52=4,"P","")</f>
        <v/>
      </c>
      <c r="Z52" s="126">
        <f>IF(T52=TRUE,4,0)</f>
        <v>0</v>
      </c>
      <c r="AA52" s="126" t="str">
        <f>IF(Z52=4,2,"")</f>
        <v/>
      </c>
      <c r="AB52" s="126" t="str">
        <f>IF(Z52=4,2,"")</f>
        <v/>
      </c>
    </row>
    <row r="53" spans="1:28" s="10" customFormat="1" ht="16.5" customHeight="1" x14ac:dyDescent="0.3">
      <c r="A53" s="9"/>
      <c r="B53" s="174">
        <v>13</v>
      </c>
      <c r="C53" s="199" t="s">
        <v>90</v>
      </c>
      <c r="D53" s="200"/>
      <c r="E53" s="201"/>
      <c r="F53" s="85"/>
      <c r="G53" s="85"/>
      <c r="H53" s="85"/>
      <c r="I53" s="86" t="str">
        <f t="shared" si="56"/>
        <v/>
      </c>
      <c r="J53" s="87" t="str">
        <f t="shared" si="57"/>
        <v/>
      </c>
      <c r="K53" s="87" t="str">
        <f t="shared" si="57"/>
        <v/>
      </c>
      <c r="L53" s="88"/>
      <c r="M53" s="9"/>
      <c r="O53" s="2"/>
      <c r="P53" s="2"/>
      <c r="Q53" s="2"/>
      <c r="R53" s="2"/>
      <c r="S53" s="40" t="str">
        <f>C53</f>
        <v>Floristika</v>
      </c>
      <c r="T53" s="41" t="b">
        <v>0</v>
      </c>
      <c r="U53" s="41"/>
      <c r="V53" s="82">
        <f t="shared" si="58"/>
        <v>0</v>
      </c>
      <c r="W53" s="175"/>
      <c r="X53" s="175"/>
      <c r="Y53" s="175" t="str">
        <f>IF(Z53=4,"P","")</f>
        <v/>
      </c>
      <c r="Z53" s="175">
        <f>IF(T53=TRUE,4,0)</f>
        <v>0</v>
      </c>
      <c r="AA53" s="175" t="str">
        <f>IF(Z53=4,2,"")</f>
        <v/>
      </c>
      <c r="AB53" s="175" t="str">
        <f>IF(Z53=4,2,"")</f>
        <v/>
      </c>
    </row>
    <row r="54" spans="1:28" s="10" customFormat="1" ht="16.5" customHeight="1" x14ac:dyDescent="0.3">
      <c r="A54" s="9"/>
      <c r="B54" s="174">
        <v>14</v>
      </c>
      <c r="C54" s="199" t="s">
        <v>102</v>
      </c>
      <c r="D54" s="200"/>
      <c r="E54" s="201"/>
      <c r="F54" s="85"/>
      <c r="G54" s="85"/>
      <c r="H54" s="85"/>
      <c r="I54" s="86" t="str">
        <f t="shared" ref="I54" si="59">Y54</f>
        <v/>
      </c>
      <c r="J54" s="87" t="str">
        <f t="shared" ref="J54" si="60">AA54</f>
        <v/>
      </c>
      <c r="K54" s="87" t="str">
        <f t="shared" ref="K54" si="61">AB54</f>
        <v/>
      </c>
      <c r="L54" s="88"/>
      <c r="M54" s="9"/>
      <c r="O54" s="2"/>
      <c r="P54" s="2"/>
      <c r="Q54" s="2"/>
      <c r="R54" s="2"/>
      <c r="S54" s="40" t="str">
        <f>C54</f>
        <v>Pasiruošimas tarptautiniam anglų kalbos egzaminui (IELTS)</v>
      </c>
      <c r="T54" s="41" t="b">
        <v>0</v>
      </c>
      <c r="U54" s="41"/>
      <c r="V54" s="82">
        <f t="shared" ref="V54" si="62">IF(T54,1,0)</f>
        <v>0</v>
      </c>
      <c r="W54" s="159"/>
      <c r="X54" s="159"/>
      <c r="Y54" s="159" t="str">
        <f>IF(Z54=4,"P","")</f>
        <v/>
      </c>
      <c r="Z54" s="159">
        <f>IF(T54=TRUE,4,0)</f>
        <v>0</v>
      </c>
      <c r="AA54" s="159" t="str">
        <f>IF(Z54=4,2,"")</f>
        <v/>
      </c>
      <c r="AB54" s="159" t="str">
        <f>IF(Z54=4,2,"")</f>
        <v/>
      </c>
    </row>
    <row r="55" spans="1:28" s="10" customFormat="1" ht="16.5" customHeight="1" x14ac:dyDescent="0.3">
      <c r="A55" s="9"/>
      <c r="B55" s="174">
        <v>15</v>
      </c>
      <c r="C55" s="199" t="s">
        <v>55</v>
      </c>
      <c r="D55" s="200"/>
      <c r="E55" s="201"/>
      <c r="F55" s="85"/>
      <c r="G55" s="85"/>
      <c r="H55" s="85"/>
      <c r="I55" s="86" t="str">
        <f t="shared" ref="I55" si="63">Y55</f>
        <v/>
      </c>
      <c r="J55" s="87" t="str">
        <f t="shared" ref="J55" si="64">AA55</f>
        <v/>
      </c>
      <c r="K55" s="87" t="str">
        <f t="shared" ref="K55" si="65">AB55</f>
        <v/>
      </c>
      <c r="L55" s="88"/>
      <c r="M55" s="9"/>
      <c r="O55" s="2"/>
      <c r="P55" s="2"/>
      <c r="Q55" s="2"/>
      <c r="R55" s="2"/>
      <c r="S55" s="40" t="str">
        <f>C55</f>
        <v>Braižyba</v>
      </c>
      <c r="T55" s="41" t="b">
        <v>0</v>
      </c>
      <c r="U55" s="41"/>
      <c r="V55" s="82">
        <f t="shared" ref="V55" si="66">IF(T55,1,0)</f>
        <v>0</v>
      </c>
      <c r="W55" s="157"/>
      <c r="X55" s="157"/>
      <c r="Y55" s="157" t="str">
        <f t="shared" ref="Y55:Y62" si="67">IF(Z55=2,"P","")</f>
        <v/>
      </c>
      <c r="Z55" s="157">
        <f t="shared" ref="Z55:Z62" si="68">IF(T55=TRUE,2,0)</f>
        <v>0</v>
      </c>
      <c r="AA55" s="157" t="str">
        <f t="shared" ref="AA55:AA62" si="69">IF(Z55=2,1,"")</f>
        <v/>
      </c>
      <c r="AB55" s="157" t="str">
        <f t="shared" ref="AB55:AB62" si="70">IF(Z55=2,1,"")</f>
        <v/>
      </c>
    </row>
    <row r="56" spans="1:28" s="10" customFormat="1" ht="16.5" customHeight="1" x14ac:dyDescent="0.3">
      <c r="A56" s="9"/>
      <c r="B56" s="174">
        <v>16</v>
      </c>
      <c r="C56" s="199" t="s">
        <v>56</v>
      </c>
      <c r="D56" s="200"/>
      <c r="E56" s="201"/>
      <c r="F56" s="85"/>
      <c r="G56" s="85"/>
      <c r="H56" s="85"/>
      <c r="I56" s="86" t="str">
        <f t="shared" si="56"/>
        <v/>
      </c>
      <c r="J56" s="87" t="str">
        <f t="shared" si="57"/>
        <v/>
      </c>
      <c r="K56" s="87" t="str">
        <f t="shared" si="57"/>
        <v/>
      </c>
      <c r="L56" s="88"/>
      <c r="M56" s="9"/>
      <c r="O56" s="2"/>
      <c r="P56" s="2"/>
      <c r="Q56" s="2"/>
      <c r="R56" s="2"/>
      <c r="S56" s="40" t="str">
        <f>C56</f>
        <v>Psichologija</v>
      </c>
      <c r="T56" s="41" t="b">
        <v>0</v>
      </c>
      <c r="U56" s="41"/>
      <c r="V56" s="82">
        <f t="shared" si="58"/>
        <v>0</v>
      </c>
      <c r="W56" s="126"/>
      <c r="X56" s="126"/>
      <c r="Y56" s="126" t="str">
        <f t="shared" si="67"/>
        <v/>
      </c>
      <c r="Z56" s="126">
        <f t="shared" si="68"/>
        <v>0</v>
      </c>
      <c r="AA56" s="126" t="str">
        <f t="shared" si="69"/>
        <v/>
      </c>
      <c r="AB56" s="126" t="str">
        <f t="shared" si="70"/>
        <v/>
      </c>
    </row>
    <row r="57" spans="1:28" s="10" customFormat="1" ht="16.5" customHeight="1" x14ac:dyDescent="0.3">
      <c r="A57" s="9"/>
      <c r="B57" s="174">
        <v>17</v>
      </c>
      <c r="C57" s="199" t="s">
        <v>74</v>
      </c>
      <c r="D57" s="200"/>
      <c r="E57" s="201"/>
      <c r="F57" s="85"/>
      <c r="G57" s="85"/>
      <c r="H57" s="85"/>
      <c r="I57" s="86" t="str">
        <f t="shared" si="56"/>
        <v/>
      </c>
      <c r="J57" s="87" t="str">
        <f>AA57</f>
        <v/>
      </c>
      <c r="K57" s="87" t="str">
        <f>AB57</f>
        <v/>
      </c>
      <c r="L57" s="88"/>
      <c r="M57" s="9"/>
      <c r="O57" s="2"/>
      <c r="P57" s="2"/>
      <c r="Q57" s="2"/>
      <c r="R57" s="2"/>
      <c r="S57" s="40" t="str">
        <f t="shared" ref="S57:S62" si="71">C57</f>
        <v>Sociologija</v>
      </c>
      <c r="T57" s="41" t="b">
        <v>0</v>
      </c>
      <c r="U57" s="41"/>
      <c r="V57" s="82">
        <f>IF(T57,1,0)</f>
        <v>0</v>
      </c>
      <c r="W57" s="126"/>
      <c r="X57" s="126"/>
      <c r="Y57" s="126" t="str">
        <f t="shared" si="67"/>
        <v/>
      </c>
      <c r="Z57" s="126">
        <f t="shared" si="68"/>
        <v>0</v>
      </c>
      <c r="AA57" s="126" t="str">
        <f t="shared" si="69"/>
        <v/>
      </c>
      <c r="AB57" s="126" t="str">
        <f t="shared" si="70"/>
        <v/>
      </c>
    </row>
    <row r="58" spans="1:28" s="10" customFormat="1" ht="16.5" customHeight="1" x14ac:dyDescent="0.3">
      <c r="A58" s="9"/>
      <c r="B58" s="174">
        <v>18</v>
      </c>
      <c r="C58" s="199" t="s">
        <v>98</v>
      </c>
      <c r="D58" s="200"/>
      <c r="E58" s="201"/>
      <c r="F58" s="85"/>
      <c r="G58" s="85"/>
      <c r="H58" s="85"/>
      <c r="I58" s="86" t="str">
        <f>Y58</f>
        <v/>
      </c>
      <c r="J58" s="87" t="str">
        <f>AA58</f>
        <v/>
      </c>
      <c r="K58" s="87" t="str">
        <f>AB58</f>
        <v/>
      </c>
      <c r="L58" s="88"/>
      <c r="M58" s="9"/>
      <c r="O58" s="2"/>
      <c r="P58" s="2"/>
      <c r="Q58" s="2"/>
      <c r="R58" s="2"/>
      <c r="S58" s="40" t="str">
        <f t="shared" si="71"/>
        <v>Medijų ir visuomenė</v>
      </c>
      <c r="T58" s="41" t="b">
        <v>0</v>
      </c>
      <c r="U58" s="41"/>
      <c r="V58" s="82">
        <f>IF(T58,1,0)</f>
        <v>0</v>
      </c>
      <c r="W58" s="142"/>
      <c r="X58" s="142"/>
      <c r="Y58" s="142" t="str">
        <f t="shared" si="67"/>
        <v/>
      </c>
      <c r="Z58" s="142">
        <f t="shared" si="68"/>
        <v>0</v>
      </c>
      <c r="AA58" s="142" t="str">
        <f t="shared" si="69"/>
        <v/>
      </c>
      <c r="AB58" s="142" t="str">
        <f t="shared" si="70"/>
        <v/>
      </c>
    </row>
    <row r="59" spans="1:28" s="10" customFormat="1" ht="16.5" customHeight="1" x14ac:dyDescent="0.3">
      <c r="A59" s="9"/>
      <c r="B59" s="174">
        <v>19</v>
      </c>
      <c r="C59" s="199" t="s">
        <v>85</v>
      </c>
      <c r="D59" s="200"/>
      <c r="E59" s="201"/>
      <c r="F59" s="85"/>
      <c r="G59" s="85"/>
      <c r="H59" s="85"/>
      <c r="I59" s="86" t="str">
        <f t="shared" ref="I59" si="72">Y59</f>
        <v/>
      </c>
      <c r="J59" s="87" t="str">
        <f t="shared" ref="J59" si="73">AA59</f>
        <v/>
      </c>
      <c r="K59" s="87" t="str">
        <f t="shared" ref="K59" si="74">AB59</f>
        <v/>
      </c>
      <c r="L59" s="88"/>
      <c r="M59" s="9"/>
      <c r="O59" s="2"/>
      <c r="P59" s="2"/>
      <c r="Q59" s="2"/>
      <c r="R59" s="2"/>
      <c r="S59" s="40" t="str">
        <f t="shared" ref="S59" si="75">C59</f>
        <v>Garso inžinerija</v>
      </c>
      <c r="T59" s="41" t="b">
        <v>0</v>
      </c>
      <c r="U59" s="41"/>
      <c r="V59" s="82">
        <f t="shared" ref="V59" si="76">IF(T59,1,0)</f>
        <v>0</v>
      </c>
      <c r="W59" s="158"/>
      <c r="X59" s="158"/>
      <c r="Y59" s="158" t="str">
        <f t="shared" ref="Y59" si="77">IF(Z59=2,"P","")</f>
        <v/>
      </c>
      <c r="Z59" s="158">
        <f t="shared" ref="Z59" si="78">IF(T59=TRUE,2,0)</f>
        <v>0</v>
      </c>
      <c r="AA59" s="158" t="str">
        <f t="shared" ref="AA59" si="79">IF(Z59=2,1,"")</f>
        <v/>
      </c>
      <c r="AB59" s="158" t="str">
        <f t="shared" ref="AB59" si="80">IF(Z59=2,1,"")</f>
        <v/>
      </c>
    </row>
    <row r="60" spans="1:28" s="10" customFormat="1" ht="16.5" customHeight="1" x14ac:dyDescent="0.3">
      <c r="A60" s="9"/>
      <c r="B60" s="174">
        <v>20</v>
      </c>
      <c r="C60" s="199" t="s">
        <v>91</v>
      </c>
      <c r="D60" s="200"/>
      <c r="E60" s="201"/>
      <c r="F60" s="85"/>
      <c r="G60" s="85"/>
      <c r="H60" s="85"/>
      <c r="I60" s="86" t="str">
        <f t="shared" ref="I60" si="81">Y60</f>
        <v/>
      </c>
      <c r="J60" s="87" t="str">
        <f t="shared" ref="J60" si="82">AA60</f>
        <v/>
      </c>
      <c r="K60" s="87" t="str">
        <f t="shared" ref="K60" si="83">AB60</f>
        <v/>
      </c>
      <c r="L60" s="88"/>
      <c r="M60" s="9"/>
      <c r="O60" s="2"/>
      <c r="P60" s="2"/>
      <c r="Q60" s="2"/>
      <c r="R60" s="2"/>
      <c r="S60" s="40" t="str">
        <f t="shared" ref="S60" si="84">C60</f>
        <v>Krašto gynyba</v>
      </c>
      <c r="T60" s="41" t="b">
        <v>0</v>
      </c>
      <c r="U60" s="41"/>
      <c r="V60" s="82">
        <f t="shared" ref="V60" si="85">IF(T60,1,0)</f>
        <v>0</v>
      </c>
      <c r="W60" s="164"/>
      <c r="X60" s="164"/>
      <c r="Y60" s="164" t="str">
        <f t="shared" ref="Y60" si="86">IF(Z60=2,"P","")</f>
        <v/>
      </c>
      <c r="Z60" s="164">
        <f t="shared" ref="Z60" si="87">IF(T60=TRUE,2,0)</f>
        <v>0</v>
      </c>
      <c r="AA60" s="164" t="str">
        <f t="shared" ref="AA60" si="88">IF(Z60=2,1,"")</f>
        <v/>
      </c>
      <c r="AB60" s="164" t="str">
        <f t="shared" ref="AB60" si="89">IF(Z60=2,1,"")</f>
        <v/>
      </c>
    </row>
    <row r="61" spans="1:28" s="10" customFormat="1" ht="16.5" customHeight="1" x14ac:dyDescent="0.3">
      <c r="A61" s="9"/>
      <c r="B61" s="174">
        <v>21</v>
      </c>
      <c r="C61" s="199" t="s">
        <v>99</v>
      </c>
      <c r="D61" s="200"/>
      <c r="E61" s="201"/>
      <c r="F61" s="85"/>
      <c r="G61" s="85"/>
      <c r="H61" s="85"/>
      <c r="I61" s="86" t="str">
        <f t="shared" si="56"/>
        <v/>
      </c>
      <c r="J61" s="87" t="str">
        <f t="shared" si="57"/>
        <v/>
      </c>
      <c r="K61" s="87" t="str">
        <f t="shared" si="57"/>
        <v/>
      </c>
      <c r="L61" s="88"/>
      <c r="M61" s="9"/>
      <c r="O61" s="2"/>
      <c r="P61" s="2"/>
      <c r="Q61" s="2"/>
      <c r="R61" s="2"/>
      <c r="S61" s="40" t="str">
        <f t="shared" si="71"/>
        <v>Finansinis raštingumas</v>
      </c>
      <c r="T61" s="41" t="b">
        <v>0</v>
      </c>
      <c r="U61" s="41"/>
      <c r="V61" s="82">
        <f t="shared" si="58"/>
        <v>0</v>
      </c>
      <c r="W61" s="126"/>
      <c r="X61" s="126"/>
      <c r="Y61" s="126" t="str">
        <f t="shared" si="67"/>
        <v/>
      </c>
      <c r="Z61" s="126">
        <f t="shared" si="68"/>
        <v>0</v>
      </c>
      <c r="AA61" s="126" t="str">
        <f t="shared" si="69"/>
        <v/>
      </c>
      <c r="AB61" s="126" t="str">
        <f t="shared" si="70"/>
        <v/>
      </c>
    </row>
    <row r="62" spans="1:28" s="10" customFormat="1" ht="16.5" customHeight="1" x14ac:dyDescent="0.3">
      <c r="A62" s="9"/>
      <c r="B62" s="174">
        <v>22</v>
      </c>
      <c r="C62" s="199" t="s">
        <v>92</v>
      </c>
      <c r="D62" s="200"/>
      <c r="E62" s="201"/>
      <c r="F62" s="85"/>
      <c r="G62" s="85"/>
      <c r="H62" s="85"/>
      <c r="I62" s="86" t="str">
        <f t="shared" si="56"/>
        <v/>
      </c>
      <c r="J62" s="87" t="str">
        <f t="shared" si="57"/>
        <v/>
      </c>
      <c r="K62" s="87" t="str">
        <f t="shared" si="57"/>
        <v/>
      </c>
      <c r="L62" s="88"/>
      <c r="M62" s="9"/>
      <c r="O62" s="2"/>
      <c r="P62" s="2"/>
      <c r="Q62" s="2"/>
      <c r="R62" s="2"/>
      <c r="S62" s="40" t="str">
        <f t="shared" si="71"/>
        <v>Vairavimo teorija</v>
      </c>
      <c r="T62" s="41" t="b">
        <v>0</v>
      </c>
      <c r="U62" s="41"/>
      <c r="V62" s="82">
        <f t="shared" si="58"/>
        <v>0</v>
      </c>
      <c r="W62" s="126"/>
      <c r="X62" s="126"/>
      <c r="Y62" s="126" t="str">
        <f t="shared" si="67"/>
        <v/>
      </c>
      <c r="Z62" s="126">
        <f t="shared" si="68"/>
        <v>0</v>
      </c>
      <c r="AA62" s="126" t="str">
        <f t="shared" si="69"/>
        <v/>
      </c>
      <c r="AB62" s="126" t="str">
        <f t="shared" si="70"/>
        <v/>
      </c>
    </row>
    <row r="63" spans="1:28" ht="8.25" customHeight="1" x14ac:dyDescent="0.3"/>
    <row r="64" spans="1:28" s="10" customFormat="1" ht="18.899999999999999" customHeight="1" x14ac:dyDescent="0.3">
      <c r="B64" s="181" t="s">
        <v>57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33"/>
      <c r="N64" s="33"/>
      <c r="O64" s="2"/>
      <c r="P64" s="2"/>
      <c r="Q64" s="2"/>
      <c r="R64" s="2"/>
      <c r="S64" s="80"/>
      <c r="V64" s="15"/>
      <c r="W64" s="15"/>
      <c r="X64" s="15"/>
      <c r="Y64" s="15"/>
      <c r="Z64" s="15"/>
      <c r="AA64" s="15"/>
      <c r="AB64" s="15"/>
    </row>
    <row r="65" spans="1:28" s="10" customFormat="1" ht="16.5" customHeight="1" x14ac:dyDescent="0.3">
      <c r="A65" s="9"/>
      <c r="B65" s="156">
        <v>25</v>
      </c>
      <c r="C65" s="129" t="s">
        <v>36</v>
      </c>
      <c r="D65" s="247" t="s">
        <v>80</v>
      </c>
      <c r="E65" s="247"/>
      <c r="F65" s="128"/>
      <c r="G65" s="128"/>
      <c r="H65" s="128"/>
      <c r="I65" s="94" t="str">
        <f t="shared" ref="I65:I68" si="90">Y65</f>
        <v/>
      </c>
      <c r="J65" s="44" t="str">
        <f t="shared" ref="J65:K67" si="91">AA65</f>
        <v/>
      </c>
      <c r="K65" s="44" t="str">
        <f t="shared" si="91"/>
        <v/>
      </c>
      <c r="L65" s="45"/>
      <c r="M65" s="89"/>
      <c r="N65" s="89"/>
      <c r="O65" s="226" t="str">
        <f>IF(AND(V65=1,U20=FALSE),"Turite pasirinkti MATEMATIKOS dalyką A lygiu","")</f>
        <v/>
      </c>
      <c r="P65" s="226"/>
      <c r="Q65" s="226"/>
      <c r="R65" s="2"/>
      <c r="S65" s="90" t="str">
        <f t="shared" ref="S65:S68" si="92">D65</f>
        <v>Tekstinių uždavinių sprendimo metodika</v>
      </c>
      <c r="T65" s="41" t="b">
        <v>0</v>
      </c>
      <c r="U65" s="41"/>
      <c r="V65" s="82">
        <f t="shared" ref="V65:V66" si="93">IF(T65,1,0)</f>
        <v>0</v>
      </c>
      <c r="W65" s="42"/>
      <c r="X65" s="82"/>
      <c r="Y65" s="82" t="str">
        <f>IF(Z65=2,"M","")</f>
        <v/>
      </c>
      <c r="Z65" s="42">
        <f>IF(T65,2,0)</f>
        <v>0</v>
      </c>
      <c r="AA65" s="42" t="str">
        <f>IF(Z65=2,1,"")</f>
        <v/>
      </c>
      <c r="AB65" s="42" t="str">
        <f t="shared" ref="AB65:AB68" si="94">IF(Z65=2,1,"")</f>
        <v/>
      </c>
    </row>
    <row r="66" spans="1:28" s="10" customFormat="1" ht="16.5" customHeight="1" x14ac:dyDescent="0.3">
      <c r="A66" s="9"/>
      <c r="B66" s="156">
        <v>26</v>
      </c>
      <c r="C66" s="151" t="s">
        <v>38</v>
      </c>
      <c r="D66" s="197" t="s">
        <v>75</v>
      </c>
      <c r="E66" s="198"/>
      <c r="F66" s="139"/>
      <c r="G66" s="139"/>
      <c r="H66" s="139"/>
      <c r="I66" s="92" t="str">
        <f t="shared" si="90"/>
        <v/>
      </c>
      <c r="J66" s="87" t="str">
        <f t="shared" si="91"/>
        <v/>
      </c>
      <c r="K66" s="87" t="str">
        <f t="shared" si="91"/>
        <v/>
      </c>
      <c r="L66" s="88"/>
      <c r="M66" s="89"/>
      <c r="N66" s="89"/>
      <c r="O66" s="226" t="str">
        <f>IF(AND(V66=1,U21=FALSE),"Turite pasirinkti BIOLOGIJOS dalyką A lygiu","")</f>
        <v/>
      </c>
      <c r="P66" s="226"/>
      <c r="Q66" s="226"/>
      <c r="R66" s="2"/>
      <c r="S66" s="90" t="str">
        <f t="shared" si="92"/>
        <v>Žmogaus biologija</v>
      </c>
      <c r="T66" s="41" t="b">
        <v>0</v>
      </c>
      <c r="U66" s="41"/>
      <c r="V66" s="126">
        <f t="shared" si="93"/>
        <v>0</v>
      </c>
      <c r="W66" s="126"/>
      <c r="X66" s="82">
        <f>IF(AND(V66=1,$V$16=1),1,0)</f>
        <v>0</v>
      </c>
      <c r="Y66" s="82" t="str">
        <f t="shared" ref="Y66:Y68" si="95">IF(Z66=2,"M","")</f>
        <v/>
      </c>
      <c r="Z66" s="138">
        <f t="shared" ref="Z66:Z68" si="96">IF(T66,2,0)</f>
        <v>0</v>
      </c>
      <c r="AA66" s="126" t="str">
        <f t="shared" ref="AA66" si="97">IF(Z66=2,1,"")</f>
        <v/>
      </c>
      <c r="AB66" s="126" t="str">
        <f t="shared" si="94"/>
        <v/>
      </c>
    </row>
    <row r="67" spans="1:28" s="10" customFormat="1" ht="16.5" customHeight="1" x14ac:dyDescent="0.3">
      <c r="A67" s="9"/>
      <c r="B67" s="155">
        <v>27</v>
      </c>
      <c r="C67" s="93" t="s">
        <v>39</v>
      </c>
      <c r="D67" s="194" t="s">
        <v>101</v>
      </c>
      <c r="E67" s="195"/>
      <c r="F67" s="139"/>
      <c r="G67" s="139"/>
      <c r="H67" s="139"/>
      <c r="I67" s="92" t="str">
        <f t="shared" si="90"/>
        <v/>
      </c>
      <c r="J67" s="87" t="str">
        <f t="shared" si="91"/>
        <v/>
      </c>
      <c r="K67" s="87" t="str">
        <f t="shared" si="91"/>
        <v/>
      </c>
      <c r="L67" s="88"/>
      <c r="M67" s="89"/>
      <c r="N67" s="89"/>
      <c r="O67" s="226" t="str">
        <f>IF(AND(V67=1,U22=FALSE),"Turite pasirinkti CHEMIJOS dalyką A lygiu","")</f>
        <v/>
      </c>
      <c r="P67" s="226"/>
      <c r="Q67" s="226"/>
      <c r="R67" s="2"/>
      <c r="S67" s="90" t="str">
        <f t="shared" si="92"/>
        <v>Eksperimentinių uždavinių sprndimas</v>
      </c>
      <c r="T67" s="41" t="b">
        <v>0</v>
      </c>
      <c r="U67" s="41"/>
      <c r="V67" s="126">
        <f>IF(T67,1,0)</f>
        <v>0</v>
      </c>
      <c r="W67" s="126"/>
      <c r="X67" s="82">
        <f>IF(AND(V67=1,$V$16=1),1,0)</f>
        <v>0</v>
      </c>
      <c r="Y67" s="82" t="str">
        <f t="shared" si="95"/>
        <v/>
      </c>
      <c r="Z67" s="138">
        <f t="shared" si="96"/>
        <v>0</v>
      </c>
      <c r="AA67" s="126" t="str">
        <f>IF(Z67=2,1,"")</f>
        <v/>
      </c>
      <c r="AB67" s="126" t="str">
        <f t="shared" si="94"/>
        <v/>
      </c>
    </row>
    <row r="68" spans="1:28" s="10" customFormat="1" ht="16.5" customHeight="1" x14ac:dyDescent="0.3">
      <c r="A68" s="9"/>
      <c r="B68" s="146">
        <v>28</v>
      </c>
      <c r="C68" s="143" t="s">
        <v>40</v>
      </c>
      <c r="D68" s="196" t="s">
        <v>100</v>
      </c>
      <c r="E68" s="196"/>
      <c r="F68" s="139"/>
      <c r="G68" s="139"/>
      <c r="H68" s="139"/>
      <c r="I68" s="92" t="str">
        <f t="shared" si="90"/>
        <v/>
      </c>
      <c r="J68" s="87" t="str">
        <f>AA68</f>
        <v/>
      </c>
      <c r="K68" s="87" t="str">
        <f>AB68</f>
        <v/>
      </c>
      <c r="L68" s="88"/>
      <c r="M68" s="89"/>
      <c r="N68" s="89"/>
      <c r="O68" s="226" t="str">
        <f>IF(AND(V68=1,U23=FALSE),"Turite pasirinkti FIZIKOS dalyką A lygiu","")</f>
        <v/>
      </c>
      <c r="P68" s="226"/>
      <c r="Q68" s="226"/>
      <c r="R68" s="2"/>
      <c r="S68" s="90" t="str">
        <f t="shared" si="92"/>
        <v>Fizikos uždavinių sprendimo būdai ir metodai</v>
      </c>
      <c r="T68" s="41" t="b">
        <v>0</v>
      </c>
      <c r="U68" s="41"/>
      <c r="V68" s="147">
        <f>IF(T68,1,0)</f>
        <v>0</v>
      </c>
      <c r="W68" s="41"/>
      <c r="X68" s="82">
        <f>IF(AND(V68=1,$V$23=1),1,0)</f>
        <v>0</v>
      </c>
      <c r="Y68" s="82" t="str">
        <f t="shared" si="95"/>
        <v/>
      </c>
      <c r="Z68" s="138">
        <f t="shared" si="96"/>
        <v>0</v>
      </c>
      <c r="AA68" s="126" t="str">
        <f>IF(Z68=2,1,"")</f>
        <v/>
      </c>
      <c r="AB68" s="126" t="str">
        <f t="shared" si="94"/>
        <v/>
      </c>
    </row>
    <row r="69" spans="1:28" ht="8.4" customHeight="1" x14ac:dyDescent="0.3"/>
    <row r="70" spans="1:28" s="10" customFormat="1" x14ac:dyDescent="0.3">
      <c r="A70" s="9"/>
      <c r="B70" s="9"/>
      <c r="C70" s="96" t="s">
        <v>0</v>
      </c>
      <c r="D70" s="97">
        <f>T70</f>
        <v>0</v>
      </c>
      <c r="E70" s="98" t="str">
        <f>IF(D70&gt;7,"","Dalykų turi būti ne mažiau kaip 8")</f>
        <v>Dalykų turi būti ne mažiau kaip 8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2"/>
      <c r="Q70" s="2"/>
      <c r="R70" s="2"/>
      <c r="S70" s="100" t="s">
        <v>0</v>
      </c>
      <c r="T70" s="42">
        <f>COUNTIF(Y13:Y45,"B")+COUNTIF(Y13:Y47,"A")+COUNTIF(Y13:Y62,"L")+COUNTIF(Y48:Y62,"P")+COUNTIF(Y48:Y62,"A1")+COUNTIF(Y16:Y39,"B2")+COUNTIF(Y17:Y42,"B1")+COUNTIF(Y18:Y62,"A2")</f>
        <v>0</v>
      </c>
      <c r="Y70" s="15"/>
    </row>
    <row r="71" spans="1:28" s="10" customFormat="1" ht="9" customHeight="1" x14ac:dyDescent="0.3">
      <c r="A71" s="9"/>
      <c r="B71" s="9"/>
      <c r="C71" s="100"/>
      <c r="D71" s="101"/>
      <c r="E71" s="102"/>
      <c r="F71" s="103"/>
      <c r="G71" s="103"/>
      <c r="H71" s="103"/>
      <c r="I71" s="9"/>
      <c r="J71" s="103"/>
      <c r="K71" s="103"/>
      <c r="L71" s="103"/>
      <c r="O71" s="2"/>
      <c r="P71" s="2"/>
      <c r="Q71" s="2"/>
      <c r="R71" s="2"/>
      <c r="T71" s="15"/>
      <c r="Y71" s="15"/>
    </row>
    <row r="72" spans="1:28" s="10" customFormat="1" ht="27" customHeight="1" x14ac:dyDescent="0.3">
      <c r="A72" s="191" t="s">
        <v>58</v>
      </c>
      <c r="B72" s="191"/>
      <c r="C72" s="192"/>
      <c r="D72" s="97">
        <f>T72</f>
        <v>0</v>
      </c>
      <c r="E72" s="99" t="str">
        <f>IF((D72&lt;=35)*(D72&gt;=28),"","Pamokų turi būti ne mažiau kaip 28 ir ne daugiau kaip 35")</f>
        <v>Pamokų turi būti ne mažiau kaip 28 ir ne daugiau kaip 35</v>
      </c>
      <c r="F72" s="104"/>
      <c r="G72" s="104"/>
      <c r="H72" s="104"/>
      <c r="I72" s="9"/>
      <c r="J72" s="104"/>
      <c r="K72" s="104"/>
      <c r="L72" s="104"/>
      <c r="O72" s="2"/>
      <c r="P72" s="2"/>
      <c r="Q72" s="2"/>
      <c r="R72" s="2"/>
      <c r="S72" s="100" t="s">
        <v>3</v>
      </c>
      <c r="T72" s="42">
        <f>SUM(AA13:AA68)</f>
        <v>0</v>
      </c>
      <c r="Y72" s="15"/>
    </row>
    <row r="73" spans="1:28" s="10" customFormat="1" ht="9" customHeight="1" x14ac:dyDescent="0.3">
      <c r="A73" s="9"/>
      <c r="B73" s="9"/>
      <c r="C73" s="100"/>
      <c r="D73" s="101"/>
      <c r="E73" s="102"/>
      <c r="F73" s="103"/>
      <c r="G73" s="103"/>
      <c r="H73" s="103"/>
      <c r="I73" s="9"/>
      <c r="J73" s="103"/>
      <c r="K73" s="103"/>
      <c r="L73" s="103"/>
      <c r="O73" s="2"/>
      <c r="P73" s="2"/>
      <c r="Q73" s="2"/>
      <c r="R73" s="2"/>
      <c r="S73" s="100"/>
      <c r="T73" s="15"/>
      <c r="Y73" s="15"/>
    </row>
    <row r="74" spans="1:28" s="10" customFormat="1" ht="27" customHeight="1" x14ac:dyDescent="0.3">
      <c r="A74" s="191" t="s">
        <v>59</v>
      </c>
      <c r="B74" s="191"/>
      <c r="C74" s="192"/>
      <c r="D74" s="97">
        <f>T74</f>
        <v>0</v>
      </c>
      <c r="E74" s="99" t="str">
        <f>IF((D74&lt;=35)*(D74&gt;=28),"","Pamokų turi būti ne mažiau kaip 28 ir ne daugiau kaip 35")</f>
        <v>Pamokų turi būti ne mažiau kaip 28 ir ne daugiau kaip 35</v>
      </c>
      <c r="F74" s="104"/>
      <c r="G74" s="104"/>
      <c r="H74" s="104"/>
      <c r="I74" s="9"/>
      <c r="J74" s="104"/>
      <c r="K74" s="104"/>
      <c r="L74" s="104"/>
      <c r="O74" s="2"/>
      <c r="P74" s="2"/>
      <c r="Q74" s="2"/>
      <c r="R74" s="2"/>
      <c r="S74" s="100" t="s">
        <v>5</v>
      </c>
      <c r="T74" s="126">
        <f>SUM(AB13:AB68)</f>
        <v>0</v>
      </c>
      <c r="Y74" s="15"/>
    </row>
    <row r="75" spans="1:28" s="10" customFormat="1" ht="9" customHeight="1" x14ac:dyDescent="0.3">
      <c r="A75" s="9"/>
      <c r="B75" s="9"/>
      <c r="C75" s="100"/>
      <c r="D75" s="101"/>
      <c r="E75" s="103"/>
      <c r="F75" s="103"/>
      <c r="G75" s="103"/>
      <c r="H75" s="103"/>
      <c r="I75" s="9"/>
      <c r="J75" s="103"/>
      <c r="K75" s="103"/>
      <c r="L75" s="103"/>
      <c r="O75" s="2"/>
      <c r="P75" s="2"/>
      <c r="Q75" s="2"/>
      <c r="R75" s="2"/>
      <c r="Y75" s="15"/>
    </row>
    <row r="76" spans="1:28" s="10" customFormat="1" ht="15" customHeight="1" x14ac:dyDescent="0.3">
      <c r="A76" s="9"/>
      <c r="B76" s="9"/>
      <c r="C76" s="96" t="s">
        <v>60</v>
      </c>
      <c r="D76" s="97">
        <f>COUNTIF(Y13:Y62,"A")</f>
        <v>0</v>
      </c>
      <c r="E76" s="103"/>
      <c r="F76" s="103"/>
      <c r="G76" s="103"/>
      <c r="H76" s="103"/>
      <c r="I76" s="9"/>
      <c r="J76" s="103"/>
      <c r="K76" s="105"/>
      <c r="L76" s="103"/>
      <c r="M76" s="104"/>
      <c r="N76" s="104"/>
      <c r="O76" s="2"/>
      <c r="P76" s="2"/>
      <c r="Q76" s="2"/>
      <c r="R76" s="2"/>
      <c r="Y76" s="15"/>
    </row>
    <row r="77" spans="1:28" s="10" customFormat="1" ht="9" customHeight="1" x14ac:dyDescent="0.3">
      <c r="A77" s="9"/>
      <c r="B77" s="9"/>
      <c r="C77" s="100"/>
      <c r="D77" s="101"/>
      <c r="E77" s="103"/>
      <c r="F77" s="103"/>
      <c r="G77" s="103"/>
      <c r="H77" s="103"/>
      <c r="I77" s="9"/>
      <c r="J77" s="103"/>
      <c r="K77" s="103"/>
      <c r="L77" s="103"/>
      <c r="O77" s="2"/>
      <c r="P77" s="2"/>
      <c r="Q77" s="2"/>
      <c r="R77" s="2"/>
      <c r="Y77" s="15"/>
    </row>
    <row r="78" spans="1:28" s="10" customFormat="1" ht="15" customHeight="1" x14ac:dyDescent="0.3">
      <c r="A78" s="9"/>
      <c r="B78" s="9"/>
      <c r="C78" s="96" t="s">
        <v>61</v>
      </c>
      <c r="D78" s="97">
        <f>COUNTIF(Y13:Y62,"B")</f>
        <v>0</v>
      </c>
      <c r="E78" s="103"/>
      <c r="F78" s="103"/>
      <c r="G78" s="103"/>
      <c r="H78" s="103"/>
      <c r="I78" s="9"/>
      <c r="J78" s="103"/>
      <c r="K78" s="105"/>
      <c r="L78" s="103"/>
      <c r="M78" s="104"/>
      <c r="N78" s="104"/>
      <c r="O78" s="2"/>
      <c r="P78" s="2"/>
      <c r="Q78" s="2"/>
      <c r="R78" s="2"/>
      <c r="Y78" s="15"/>
    </row>
    <row r="79" spans="1:28" s="10" customFormat="1" ht="6.6" customHeight="1" x14ac:dyDescent="0.3">
      <c r="A79" s="9"/>
      <c r="B79" s="9"/>
      <c r="C79" s="96"/>
      <c r="D79" s="106"/>
      <c r="E79" s="103"/>
      <c r="F79" s="103"/>
      <c r="G79" s="103"/>
      <c r="H79" s="103"/>
      <c r="I79" s="9"/>
      <c r="J79" s="103"/>
      <c r="K79" s="105"/>
      <c r="L79" s="103"/>
      <c r="M79" s="104"/>
      <c r="N79" s="104"/>
      <c r="O79" s="2"/>
      <c r="P79" s="2"/>
      <c r="Q79" s="2"/>
      <c r="R79" s="2"/>
      <c r="Y79" s="15"/>
    </row>
    <row r="80" spans="1:28" s="10" customFormat="1" x14ac:dyDescent="0.3">
      <c r="A80" s="9"/>
      <c r="B80" s="9"/>
      <c r="C80" s="107">
        <f ca="1">TODAY()</f>
        <v>44263</v>
      </c>
      <c r="D80" s="9"/>
      <c r="E80" s="108"/>
      <c r="F80" s="9"/>
      <c r="G80" s="9"/>
      <c r="H80" s="122"/>
      <c r="I80" s="122"/>
      <c r="J80" s="122"/>
      <c r="K80" s="122"/>
      <c r="L80" s="122"/>
      <c r="M80" s="122"/>
      <c r="O80" s="2"/>
      <c r="P80" s="2"/>
      <c r="Q80" s="2"/>
      <c r="R80" s="2"/>
      <c r="S80" s="80"/>
      <c r="Y80" s="15"/>
    </row>
    <row r="81" spans="1:25" s="10" customFormat="1" x14ac:dyDescent="0.3">
      <c r="A81" s="9"/>
      <c r="B81" s="9"/>
      <c r="C81" s="109" t="s">
        <v>62</v>
      </c>
      <c r="D81" s="9"/>
      <c r="E81" s="109" t="s">
        <v>63</v>
      </c>
      <c r="F81" s="9"/>
      <c r="G81" s="9"/>
      <c r="H81" s="123" t="s">
        <v>64</v>
      </c>
      <c r="I81" s="123"/>
      <c r="J81" s="123"/>
      <c r="K81" s="123"/>
      <c r="L81" s="123"/>
      <c r="M81" s="123"/>
      <c r="O81" s="2"/>
      <c r="P81" s="2"/>
      <c r="Q81" s="2"/>
      <c r="R81" s="2"/>
      <c r="S81" s="80"/>
      <c r="Y81" s="15"/>
    </row>
    <row r="82" spans="1:25" s="10" customFormat="1" ht="7.95" customHeight="1" x14ac:dyDescent="0.3">
      <c r="B82" s="108"/>
      <c r="C82" s="122"/>
      <c r="D82" s="108"/>
      <c r="O82" s="2"/>
      <c r="P82" s="2"/>
      <c r="Q82" s="2"/>
      <c r="R82" s="2"/>
      <c r="S82" s="80"/>
      <c r="Y82" s="15"/>
    </row>
    <row r="83" spans="1:25" s="110" customFormat="1" ht="9.6" x14ac:dyDescent="0.3">
      <c r="B83" s="110" t="s">
        <v>65</v>
      </c>
      <c r="C83" s="111"/>
      <c r="O83" s="112"/>
      <c r="P83" s="112"/>
      <c r="Q83" s="112"/>
      <c r="R83" s="112"/>
      <c r="S83" s="113"/>
      <c r="Y83" s="111"/>
    </row>
    <row r="84" spans="1:25" s="10" customFormat="1" ht="6" customHeight="1" thickBot="1" x14ac:dyDescent="0.3">
      <c r="A84" s="9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5"/>
      <c r="P84" s="115"/>
      <c r="Q84" s="115"/>
      <c r="R84" s="115"/>
      <c r="S84" s="80"/>
      <c r="Y84" s="15"/>
    </row>
    <row r="85" spans="1:25" s="118" customFormat="1" ht="14.25" customHeight="1" thickTop="1" x14ac:dyDescent="0.25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16"/>
      <c r="O85" s="117"/>
      <c r="P85" s="117"/>
      <c r="Q85" s="117"/>
      <c r="R85" s="117"/>
      <c r="S85" s="95"/>
      <c r="Y85" s="119"/>
    </row>
    <row r="129" s="120" customFormat="1" x14ac:dyDescent="0.3"/>
    <row r="135" s="120" customFormat="1" x14ac:dyDescent="0.3"/>
  </sheetData>
  <protectedRanges>
    <protectedRange sqref="X45:X47" name="Diapazonas4_3"/>
    <protectedRange sqref="W45:W47" name="Diapazonas4_2"/>
    <protectedRange sqref="V45:V47" name="Diapazonas4_1"/>
    <protectedRange sqref="Y45:AB47 S45:U47 S44:AB44 S64:AB68 S13:AB42 S48:AB62" name="Diapazonas4"/>
    <protectedRange sqref="D5:E5 J5:N5 J7:K7 J10:K10" name="Diapazonas1_1"/>
    <protectedRange sqref="I37:K42 I65:K68 I13:K34 I45:K62" name="Diapazonas3"/>
  </protectedRanges>
  <sortState xmlns:xlrd2="http://schemas.microsoft.com/office/spreadsheetml/2017/richdata2" ref="D48:E51">
    <sortCondition ref="D48:D51"/>
  </sortState>
  <customSheetViews>
    <customSheetView guid="{B2441449-ACEE-4467-9DFC-B6008FED17D1}" showPageBreaks="1" view="pageLayout">
      <selection sqref="A1:M91"/>
      <pageMargins left="0.7" right="0.7" top="0.39583333333333331" bottom="0.39583333333333331" header="0.3" footer="0.3"/>
      <pageSetup paperSize="9" orientation="portrait" horizontalDpi="300" verticalDpi="300" r:id="rId1"/>
    </customSheetView>
  </customSheetViews>
  <mergeCells count="127">
    <mergeCell ref="B10:H10"/>
    <mergeCell ref="I10:M10"/>
    <mergeCell ref="O11:O12"/>
    <mergeCell ref="P10:Q12"/>
    <mergeCell ref="O66:Q66"/>
    <mergeCell ref="O67:Q67"/>
    <mergeCell ref="O68:Q68"/>
    <mergeCell ref="O65:Q65"/>
    <mergeCell ref="D65:E65"/>
    <mergeCell ref="C52:E52"/>
    <mergeCell ref="C56:E56"/>
    <mergeCell ref="C57:E57"/>
    <mergeCell ref="C18:C19"/>
    <mergeCell ref="O18:Q19"/>
    <mergeCell ref="O45:Q47"/>
    <mergeCell ref="D31:E31"/>
    <mergeCell ref="O32:Q34"/>
    <mergeCell ref="C58:E58"/>
    <mergeCell ref="D25:E25"/>
    <mergeCell ref="D26:E26"/>
    <mergeCell ref="C24:C31"/>
    <mergeCell ref="L39:M39"/>
    <mergeCell ref="D34:E34"/>
    <mergeCell ref="C55:E55"/>
    <mergeCell ref="C59:E59"/>
    <mergeCell ref="O48:Q51"/>
    <mergeCell ref="D30:E30"/>
    <mergeCell ref="L40:M40"/>
    <mergeCell ref="W45:W47"/>
    <mergeCell ref="X45:X47"/>
    <mergeCell ref="S11:S12"/>
    <mergeCell ref="A1:M1"/>
    <mergeCell ref="A2:M3"/>
    <mergeCell ref="D5:E5"/>
    <mergeCell ref="I5:M5"/>
    <mergeCell ref="I7:M7"/>
    <mergeCell ref="D19:E19"/>
    <mergeCell ref="D11:E12"/>
    <mergeCell ref="F11:F12"/>
    <mergeCell ref="G11:G12"/>
    <mergeCell ref="H11:H12"/>
    <mergeCell ref="O15:Q15"/>
    <mergeCell ref="I11:I12"/>
    <mergeCell ref="D18:E18"/>
    <mergeCell ref="D20:E20"/>
    <mergeCell ref="B18:B19"/>
    <mergeCell ref="D46:E46"/>
    <mergeCell ref="D47:E47"/>
    <mergeCell ref="A13:A34"/>
    <mergeCell ref="B13:B14"/>
    <mergeCell ref="C13:C14"/>
    <mergeCell ref="D13:E13"/>
    <mergeCell ref="O13:Q14"/>
    <mergeCell ref="D14:E14"/>
    <mergeCell ref="D15:E15"/>
    <mergeCell ref="O20:Q20"/>
    <mergeCell ref="D27:E27"/>
    <mergeCell ref="B16:B17"/>
    <mergeCell ref="C16:C17"/>
    <mergeCell ref="D16:E16"/>
    <mergeCell ref="O16:Q17"/>
    <mergeCell ref="D17:E17"/>
    <mergeCell ref="D21:E21"/>
    <mergeCell ref="B21:B23"/>
    <mergeCell ref="C21:C23"/>
    <mergeCell ref="B32:B34"/>
    <mergeCell ref="O24:Q31"/>
    <mergeCell ref="D23:E23"/>
    <mergeCell ref="AB11:AB12"/>
    <mergeCell ref="T11:T12"/>
    <mergeCell ref="U11:U12"/>
    <mergeCell ref="V11:V12"/>
    <mergeCell ref="W11:W12"/>
    <mergeCell ref="X11:X12"/>
    <mergeCell ref="Y11:Y12"/>
    <mergeCell ref="B11:B12"/>
    <mergeCell ref="Z11:Z12"/>
    <mergeCell ref="AA11:AA12"/>
    <mergeCell ref="J11:K11"/>
    <mergeCell ref="L11:L12"/>
    <mergeCell ref="M11:M12"/>
    <mergeCell ref="B44:L44"/>
    <mergeCell ref="D49:E49"/>
    <mergeCell ref="C54:E54"/>
    <mergeCell ref="D51:E51"/>
    <mergeCell ref="B48:B51"/>
    <mergeCell ref="C48:C51"/>
    <mergeCell ref="B45:B47"/>
    <mergeCell ref="C45:C47"/>
    <mergeCell ref="D45:E45"/>
    <mergeCell ref="D50:E50"/>
    <mergeCell ref="D48:E48"/>
    <mergeCell ref="C53:E53"/>
    <mergeCell ref="A74:C74"/>
    <mergeCell ref="A85:M85"/>
    <mergeCell ref="A72:C72"/>
    <mergeCell ref="B64:L64"/>
    <mergeCell ref="D67:E67"/>
    <mergeCell ref="D68:E68"/>
    <mergeCell ref="D66:E66"/>
    <mergeCell ref="C60:E60"/>
    <mergeCell ref="C61:E61"/>
    <mergeCell ref="C62:E62"/>
    <mergeCell ref="B36:M36"/>
    <mergeCell ref="C11:C12"/>
    <mergeCell ref="D37:E37"/>
    <mergeCell ref="O37:Q42"/>
    <mergeCell ref="D41:E41"/>
    <mergeCell ref="L41:M41"/>
    <mergeCell ref="L42:M42"/>
    <mergeCell ref="D42:E42"/>
    <mergeCell ref="D38:E38"/>
    <mergeCell ref="L38:M38"/>
    <mergeCell ref="D40:E40"/>
    <mergeCell ref="C32:C34"/>
    <mergeCell ref="D32:E32"/>
    <mergeCell ref="D33:E33"/>
    <mergeCell ref="B24:B31"/>
    <mergeCell ref="O21:Q23"/>
    <mergeCell ref="D22:E22"/>
    <mergeCell ref="D28:E28"/>
    <mergeCell ref="D24:E24"/>
    <mergeCell ref="D29:E29"/>
    <mergeCell ref="C37:C42"/>
    <mergeCell ref="L37:M37"/>
    <mergeCell ref="D39:E39"/>
    <mergeCell ref="B37:B42"/>
  </mergeCells>
  <conditionalFormatting sqref="D13:D15 F13:H16 D19 I48:K48 I51:K52 I61:K62 I24:I28 D21:D28 J14:K28 F18:H28 J37:K37 J41:K42 I56:K57 F31:H33 J31:K33 D31:D33 I31 J45:K47 J65:K68">
    <cfRule type="expression" dxfId="77" priority="94" stopIfTrue="1">
      <formula>$V13=1</formula>
    </cfRule>
  </conditionalFormatting>
  <conditionalFormatting sqref="D48 D45 D51 D37:E37 D41:E42">
    <cfRule type="expression" dxfId="76" priority="95" stopIfTrue="1">
      <formula>$V37*$W37=1</formula>
    </cfRule>
  </conditionalFormatting>
  <conditionalFormatting sqref="C61:C62 C57">
    <cfRule type="expression" dxfId="75" priority="96" stopIfTrue="1">
      <formula>$V57=1</formula>
    </cfRule>
  </conditionalFormatting>
  <conditionalFormatting sqref="Q3">
    <cfRule type="expression" dxfId="74" priority="97" stopIfTrue="1">
      <formula>P3&lt;8</formula>
    </cfRule>
  </conditionalFormatting>
  <conditionalFormatting sqref="Q7 Q5">
    <cfRule type="expression" dxfId="73" priority="98" stopIfTrue="1">
      <formula>OR(P5&lt;28,P5&gt;32)</formula>
    </cfRule>
  </conditionalFormatting>
  <conditionalFormatting sqref="D66:D68 D65:E65">
    <cfRule type="expression" dxfId="72" priority="99" stopIfTrue="1">
      <formula>$Z65=2</formula>
    </cfRule>
  </conditionalFormatting>
  <conditionalFormatting sqref="E74 E70 E72">
    <cfRule type="expression" dxfId="71" priority="100" stopIfTrue="1">
      <formula>#REF!=0</formula>
    </cfRule>
    <cfRule type="expression" dxfId="70" priority="101" stopIfTrue="1">
      <formula>#REF!=1</formula>
    </cfRule>
  </conditionalFormatting>
  <conditionalFormatting sqref="D70 P3">
    <cfRule type="cellIs" dxfId="69" priority="102" stopIfTrue="1" operator="lessThan">
      <formula>8</formula>
    </cfRule>
  </conditionalFormatting>
  <conditionalFormatting sqref="D72 D74 P5 P7">
    <cfRule type="cellIs" dxfId="68" priority="103" stopIfTrue="1" operator="notBetween">
      <formula>28</formula>
      <formula>35</formula>
    </cfRule>
  </conditionalFormatting>
  <conditionalFormatting sqref="F65:H68">
    <cfRule type="expression" dxfId="67" priority="104" stopIfTrue="1">
      <formula>$V$37*$W$37=1</formula>
    </cfRule>
    <cfRule type="expression" dxfId="66" priority="105" stopIfTrue="1">
      <formula>$X$37=2</formula>
    </cfRule>
  </conditionalFormatting>
  <conditionalFormatting sqref="F37:H37 F41:H42 F45:H47">
    <cfRule type="expression" dxfId="65" priority="109" stopIfTrue="1">
      <formula>$V$37*$W$37=1</formula>
    </cfRule>
  </conditionalFormatting>
  <conditionalFormatting sqref="I18">
    <cfRule type="expression" dxfId="64" priority="111" stopIfTrue="1">
      <formula>$V$18=1</formula>
    </cfRule>
  </conditionalFormatting>
  <conditionalFormatting sqref="I19">
    <cfRule type="expression" dxfId="63" priority="112" stopIfTrue="1">
      <formula>$V$19=1</formula>
    </cfRule>
  </conditionalFormatting>
  <conditionalFormatting sqref="O18:R19">
    <cfRule type="cellIs" dxfId="62" priority="113" stopIfTrue="1" operator="equal">
      <formula>"Privaloma pasirinkti bent vieną iš visuomenės mokslų."</formula>
    </cfRule>
  </conditionalFormatting>
  <conditionalFormatting sqref="C18">
    <cfRule type="expression" dxfId="61" priority="114" stopIfTrue="1">
      <formula>$W$18=0</formula>
    </cfRule>
  </conditionalFormatting>
  <conditionalFormatting sqref="O20 R20">
    <cfRule type="cellIs" dxfId="60" priority="115" stopIfTrue="1" operator="equal">
      <formula>"Privaloma pasirinkti matematikos A arba B kursą"</formula>
    </cfRule>
  </conditionalFormatting>
  <conditionalFormatting sqref="C20">
    <cfRule type="expression" dxfId="59" priority="116" stopIfTrue="1">
      <formula>$V$20=0</formula>
    </cfRule>
  </conditionalFormatting>
  <conditionalFormatting sqref="O21:R23">
    <cfRule type="cellIs" dxfId="58" priority="117" stopIfTrue="1" operator="equal">
      <formula>"Privaloma pasirinkti bent vieną iš gamtos mokslų"</formula>
    </cfRule>
  </conditionalFormatting>
  <conditionalFormatting sqref="C21">
    <cfRule type="expression" dxfId="57" priority="118" stopIfTrue="1">
      <formula>$W$21=0</formula>
    </cfRule>
  </conditionalFormatting>
  <conditionalFormatting sqref="R24:R28 R31:R33">
    <cfRule type="cellIs" dxfId="56" priority="119" stopIfTrue="1" operator="equal">
      <formula>"Privaloma pasirinkti vieną menų arba technologijų dalyką"</formula>
    </cfRule>
  </conditionalFormatting>
  <conditionalFormatting sqref="I14">
    <cfRule type="expression" dxfId="55" priority="120" stopIfTrue="1">
      <formula>$V$14=1</formula>
    </cfRule>
  </conditionalFormatting>
  <conditionalFormatting sqref="I15">
    <cfRule type="expression" dxfId="54" priority="121" stopIfTrue="1">
      <formula>$V$15=1</formula>
    </cfRule>
  </conditionalFormatting>
  <conditionalFormatting sqref="I16:I17">
    <cfRule type="expression" dxfId="53" priority="122" stopIfTrue="1">
      <formula>$V$16*$W$16=1</formula>
    </cfRule>
  </conditionalFormatting>
  <conditionalFormatting sqref="I13:K13">
    <cfRule type="expression" dxfId="52" priority="123" stopIfTrue="1">
      <formula>$V$13=1</formula>
    </cfRule>
  </conditionalFormatting>
  <conditionalFormatting sqref="O13:R14">
    <cfRule type="cellIs" dxfId="51" priority="124" stopIfTrue="1" operator="equal">
      <formula>"Privaloma pasirinkti vieną dorinio ugdymo dalyką"</formula>
    </cfRule>
  </conditionalFormatting>
  <conditionalFormatting sqref="O15 R15">
    <cfRule type="cellIs" dxfId="50" priority="125" stopIfTrue="1" operator="equal">
      <formula>"Privaloma pasirinkti lietuvių k. B arba A kursą."</formula>
    </cfRule>
  </conditionalFormatting>
  <conditionalFormatting sqref="C15">
    <cfRule type="expression" dxfId="49" priority="126" stopIfTrue="1">
      <formula>$V$15=0</formula>
    </cfRule>
  </conditionalFormatting>
  <conditionalFormatting sqref="C13">
    <cfRule type="expression" dxfId="48" priority="127" stopIfTrue="1">
      <formula>$W$13=0</formula>
    </cfRule>
  </conditionalFormatting>
  <conditionalFormatting sqref="C16:C17">
    <cfRule type="expression" dxfId="47" priority="128" stopIfTrue="1">
      <formula>$W$16=0</formula>
    </cfRule>
  </conditionalFormatting>
  <conditionalFormatting sqref="O16:R17">
    <cfRule type="cellIs" dxfId="46" priority="129" stopIfTrue="1" operator="equal">
      <formula>"Privaloma pasirinkti užsienio kalbą."</formula>
    </cfRule>
  </conditionalFormatting>
  <conditionalFormatting sqref="D7 D5">
    <cfRule type="cellIs" dxfId="45" priority="131" stopIfTrue="1" operator="equal">
      <formula>""</formula>
    </cfRule>
  </conditionalFormatting>
  <conditionalFormatting sqref="O24">
    <cfRule type="cellIs" dxfId="44" priority="91" stopIfTrue="1" operator="equal">
      <formula>"Privaloma pasirinkti bent vieną iš menų ir technologijų mokslų"</formula>
    </cfRule>
  </conditionalFormatting>
  <conditionalFormatting sqref="D16">
    <cfRule type="expression" dxfId="43" priority="88" stopIfTrue="1">
      <formula>$V16=1</formula>
    </cfRule>
  </conditionalFormatting>
  <conditionalFormatting sqref="I5:M5">
    <cfRule type="cellIs" dxfId="42" priority="86" stopIfTrue="1" operator="equal">
      <formula>""</formula>
    </cfRule>
  </conditionalFormatting>
  <conditionalFormatting sqref="I7:M7">
    <cfRule type="cellIs" dxfId="41" priority="85" stopIfTrue="1" operator="equal">
      <formula>""</formula>
    </cfRule>
  </conditionalFormatting>
  <conditionalFormatting sqref="D17:E17">
    <cfRule type="expression" dxfId="40" priority="83" stopIfTrue="1">
      <formula>$V17=1</formula>
    </cfRule>
  </conditionalFormatting>
  <conditionalFormatting sqref="D46:D47">
    <cfRule type="expression" dxfId="39" priority="147" stopIfTrue="1">
      <formula>$V46*$W$45=1</formula>
    </cfRule>
  </conditionalFormatting>
  <conditionalFormatting sqref="J39:K39">
    <cfRule type="expression" dxfId="38" priority="70" stopIfTrue="1">
      <formula>$V39=1</formula>
    </cfRule>
  </conditionalFormatting>
  <conditionalFormatting sqref="D39:E39">
    <cfRule type="expression" dxfId="37" priority="71" stopIfTrue="1">
      <formula>$V39*$W39=1</formula>
    </cfRule>
  </conditionalFormatting>
  <conditionalFormatting sqref="F39:H39">
    <cfRule type="expression" dxfId="36" priority="72" stopIfTrue="1">
      <formula>$V$37*$W$37=1</formula>
    </cfRule>
  </conditionalFormatting>
  <conditionalFormatting sqref="D20">
    <cfRule type="expression" dxfId="35" priority="67" stopIfTrue="1">
      <formula>$V20=1</formula>
    </cfRule>
  </conditionalFormatting>
  <conditionalFormatting sqref="D18">
    <cfRule type="expression" dxfId="34" priority="68" stopIfTrue="1">
      <formula>$V18=1</formula>
    </cfRule>
  </conditionalFormatting>
  <conditionalFormatting sqref="O32">
    <cfRule type="cellIs" dxfId="33" priority="66" stopIfTrue="1" operator="equal">
      <formula>"Privaloma pasirinkti kūno kultūros dalyką."</formula>
    </cfRule>
  </conditionalFormatting>
  <conditionalFormatting sqref="I58:K58">
    <cfRule type="expression" dxfId="32" priority="60" stopIfTrue="1">
      <formula>$V58=1</formula>
    </cfRule>
  </conditionalFormatting>
  <conditionalFormatting sqref="C58">
    <cfRule type="expression" dxfId="31" priority="61" stopIfTrue="1">
      <formula>$V58=1</formula>
    </cfRule>
  </conditionalFormatting>
  <conditionalFormatting sqref="I50:K50">
    <cfRule type="expression" dxfId="30" priority="57" stopIfTrue="1">
      <formula>$V50=1</formula>
    </cfRule>
  </conditionalFormatting>
  <conditionalFormatting sqref="D50">
    <cfRule type="expression" dxfId="29" priority="58" stopIfTrue="1">
      <formula>$V50*$W50=1</formula>
    </cfRule>
  </conditionalFormatting>
  <conditionalFormatting sqref="D34 J34:K34 F34:H34">
    <cfRule type="expression" dxfId="28" priority="53" stopIfTrue="1">
      <formula>$V34=1</formula>
    </cfRule>
  </conditionalFormatting>
  <conditionalFormatting sqref="R34">
    <cfRule type="cellIs" dxfId="27" priority="54" stopIfTrue="1" operator="equal">
      <formula>"Privaloma pasirinkti vieną menų arba technologijų dalyką"</formula>
    </cfRule>
  </conditionalFormatting>
  <conditionalFormatting sqref="I55:K55">
    <cfRule type="expression" dxfId="26" priority="49" stopIfTrue="1">
      <formula>$V55=1</formula>
    </cfRule>
  </conditionalFormatting>
  <conditionalFormatting sqref="C55">
    <cfRule type="expression" dxfId="25" priority="50" stopIfTrue="1">
      <formula>$V55=1</formula>
    </cfRule>
  </conditionalFormatting>
  <conditionalFormatting sqref="I59:K59">
    <cfRule type="expression" dxfId="24" priority="47" stopIfTrue="1">
      <formula>$V59=1</formula>
    </cfRule>
  </conditionalFormatting>
  <conditionalFormatting sqref="C59">
    <cfRule type="expression" dxfId="23" priority="48" stopIfTrue="1">
      <formula>$V59=1</formula>
    </cfRule>
  </conditionalFormatting>
  <conditionalFormatting sqref="J38:K38">
    <cfRule type="expression" dxfId="22" priority="44" stopIfTrue="1">
      <formula>$V38=1</formula>
    </cfRule>
  </conditionalFormatting>
  <conditionalFormatting sqref="D38:E38">
    <cfRule type="expression" dxfId="21" priority="45" stopIfTrue="1">
      <formula>$V38*$W38=1</formula>
    </cfRule>
  </conditionalFormatting>
  <conditionalFormatting sqref="F38:H38">
    <cfRule type="expression" dxfId="20" priority="46" stopIfTrue="1">
      <formula>$V$37*$W$37=1</formula>
    </cfRule>
  </conditionalFormatting>
  <conditionalFormatting sqref="J40:K40">
    <cfRule type="expression" dxfId="19" priority="41" stopIfTrue="1">
      <formula>$V40=1</formula>
    </cfRule>
  </conditionalFormatting>
  <conditionalFormatting sqref="D40:E40">
    <cfRule type="expression" dxfId="18" priority="42" stopIfTrue="1">
      <formula>$V40*$W40=1</formula>
    </cfRule>
  </conditionalFormatting>
  <conditionalFormatting sqref="F40:H40">
    <cfRule type="expression" dxfId="17" priority="43" stopIfTrue="1">
      <formula>$V$37*$W$37=1</formula>
    </cfRule>
  </conditionalFormatting>
  <conditionalFormatting sqref="I49:K49">
    <cfRule type="expression" dxfId="16" priority="39" stopIfTrue="1">
      <formula>$V49=1</formula>
    </cfRule>
  </conditionalFormatting>
  <conditionalFormatting sqref="D49">
    <cfRule type="expression" dxfId="15" priority="40" stopIfTrue="1">
      <formula>$V49*$W49=1</formula>
    </cfRule>
  </conditionalFormatting>
  <conditionalFormatting sqref="I54:K54">
    <cfRule type="expression" dxfId="14" priority="37" stopIfTrue="1">
      <formula>$V54=1</formula>
    </cfRule>
  </conditionalFormatting>
  <conditionalFormatting sqref="D30 F30:K30">
    <cfRule type="expression" dxfId="13" priority="25" stopIfTrue="1">
      <formula>$V30=1</formula>
    </cfRule>
  </conditionalFormatting>
  <conditionalFormatting sqref="R30">
    <cfRule type="cellIs" dxfId="12" priority="26" stopIfTrue="1" operator="equal">
      <formula>"Privaloma pasirinkti vieną menų arba technologijų dalyką"</formula>
    </cfRule>
  </conditionalFormatting>
  <conditionalFormatting sqref="I60:K60">
    <cfRule type="expression" dxfId="11" priority="9" stopIfTrue="1">
      <formula>$V60=1</formula>
    </cfRule>
  </conditionalFormatting>
  <conditionalFormatting sqref="C60">
    <cfRule type="expression" dxfId="10" priority="10" stopIfTrue="1">
      <formula>$V60=1</formula>
    </cfRule>
  </conditionalFormatting>
  <conditionalFormatting sqref="C24">
    <cfRule type="expression" dxfId="9" priority="182" stopIfTrue="1">
      <formula>SUM(V24:V31)=0</formula>
    </cfRule>
  </conditionalFormatting>
  <conditionalFormatting sqref="C52">
    <cfRule type="expression" dxfId="8" priority="183" stopIfTrue="1">
      <formula>$V52=1</formula>
    </cfRule>
  </conditionalFormatting>
  <conditionalFormatting sqref="C56">
    <cfRule type="expression" dxfId="7" priority="185" stopIfTrue="1">
      <formula>$V56=1</formula>
    </cfRule>
  </conditionalFormatting>
  <conditionalFormatting sqref="C54">
    <cfRule type="expression" dxfId="6" priority="6" stopIfTrue="1">
      <formula>$V54=1</formula>
    </cfRule>
  </conditionalFormatting>
  <conditionalFormatting sqref="D29 F29:K29">
    <cfRule type="expression" dxfId="5" priority="4" stopIfTrue="1">
      <formula>$V29=1</formula>
    </cfRule>
  </conditionalFormatting>
  <conditionalFormatting sqref="R29">
    <cfRule type="cellIs" dxfId="4" priority="5" stopIfTrue="1" operator="equal">
      <formula>"Privaloma pasirinkti vieną menų arba technologijų dalyką"</formula>
    </cfRule>
  </conditionalFormatting>
  <conditionalFormatting sqref="I10:M10">
    <cfRule type="cellIs" dxfId="3" priority="3" stopIfTrue="1" operator="equal">
      <formula>""</formula>
    </cfRule>
  </conditionalFormatting>
  <conditionalFormatting sqref="C32">
    <cfRule type="expression" dxfId="2" priority="186" stopIfTrue="1">
      <formula>#REF!=0</formula>
    </cfRule>
  </conditionalFormatting>
  <conditionalFormatting sqref="I53:K53">
    <cfRule type="expression" dxfId="1" priority="2" stopIfTrue="1">
      <formula>$V53=1</formula>
    </cfRule>
  </conditionalFormatting>
  <conditionalFormatting sqref="C53">
    <cfRule type="expression" dxfId="0" priority="1" stopIfTrue="1">
      <formula>$V53=1</formula>
    </cfRule>
  </conditionalFormatting>
  <pageMargins left="0.78740157480314965" right="0.39370078740157483" top="0.59055118110236227" bottom="0.59055118110236227" header="0.31496062992125984" footer="0.31496062992125984"/>
  <pageSetup paperSize="9" scale="91" orientation="portrait" horizontalDpi="300" verticalDpi="300" r:id="rId2"/>
  <rowBreaks count="1" manualBreakCount="1">
    <brk id="4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51</xdr:row>
                    <xdr:rowOff>45720</xdr:rowOff>
                  </from>
                  <to>
                    <xdr:col>11</xdr:col>
                    <xdr:colOff>342900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60</xdr:row>
                    <xdr:rowOff>60960</xdr:rowOff>
                  </from>
                  <to>
                    <xdr:col>11</xdr:col>
                    <xdr:colOff>342900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61</xdr:row>
                    <xdr:rowOff>53340</xdr:rowOff>
                  </from>
                  <to>
                    <xdr:col>11</xdr:col>
                    <xdr:colOff>342900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47</xdr:row>
                    <xdr:rowOff>38100</xdr:rowOff>
                  </from>
                  <to>
                    <xdr:col>11</xdr:col>
                    <xdr:colOff>342900</xdr:colOff>
                    <xdr:row>47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50</xdr:row>
                    <xdr:rowOff>45720</xdr:rowOff>
                  </from>
                  <to>
                    <xdr:col>11</xdr:col>
                    <xdr:colOff>342900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55</xdr:row>
                    <xdr:rowOff>45720</xdr:rowOff>
                  </from>
                  <to>
                    <xdr:col>11</xdr:col>
                    <xdr:colOff>342900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56</xdr:row>
                    <xdr:rowOff>45720</xdr:rowOff>
                  </from>
                  <to>
                    <xdr:col>11</xdr:col>
                    <xdr:colOff>342900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2" name="Check Box 266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57</xdr:row>
                    <xdr:rowOff>60960</xdr:rowOff>
                  </from>
                  <to>
                    <xdr:col>11</xdr:col>
                    <xdr:colOff>342900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65</xdr:row>
                    <xdr:rowOff>45720</xdr:rowOff>
                  </from>
                  <to>
                    <xdr:col>11</xdr:col>
                    <xdr:colOff>327660</xdr:colOff>
                    <xdr:row>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64</xdr:row>
                    <xdr:rowOff>38100</xdr:rowOff>
                  </from>
                  <to>
                    <xdr:col>11</xdr:col>
                    <xdr:colOff>327660</xdr:colOff>
                    <xdr:row>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66</xdr:row>
                    <xdr:rowOff>53340</xdr:rowOff>
                  </from>
                  <to>
                    <xdr:col>11</xdr:col>
                    <xdr:colOff>327660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67</xdr:row>
                    <xdr:rowOff>53340</xdr:rowOff>
                  </from>
                  <to>
                    <xdr:col>11</xdr:col>
                    <xdr:colOff>327660</xdr:colOff>
                    <xdr:row>67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" name="Check Box 173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32</xdr:row>
                    <xdr:rowOff>38100</xdr:rowOff>
                  </from>
                  <to>
                    <xdr:col>11</xdr:col>
                    <xdr:colOff>335280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8" name="Check Box 174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31</xdr:row>
                    <xdr:rowOff>38100</xdr:rowOff>
                  </from>
                  <to>
                    <xdr:col>11</xdr:col>
                    <xdr:colOff>335280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 sizeWithCells="1">
                  <from>
                    <xdr:col>11</xdr:col>
                    <xdr:colOff>381000</xdr:colOff>
                    <xdr:row>36</xdr:row>
                    <xdr:rowOff>22860</xdr:rowOff>
                  </from>
                  <to>
                    <xdr:col>12</xdr:col>
                    <xdr:colOff>76200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 sizeWithCells="1">
                  <from>
                    <xdr:col>11</xdr:col>
                    <xdr:colOff>381000</xdr:colOff>
                    <xdr:row>40</xdr:row>
                    <xdr:rowOff>45720</xdr:rowOff>
                  </from>
                  <to>
                    <xdr:col>12</xdr:col>
                    <xdr:colOff>76200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1" name="Check Box 164">
              <controlPr defaultSize="0" autoFill="0" autoLine="0" autoPict="0">
                <anchor moveWithCells="1" sizeWithCells="1">
                  <from>
                    <xdr:col>11</xdr:col>
                    <xdr:colOff>381000</xdr:colOff>
                    <xdr:row>41</xdr:row>
                    <xdr:rowOff>45720</xdr:rowOff>
                  </from>
                  <to>
                    <xdr:col>12</xdr:col>
                    <xdr:colOff>76200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2" name="Check Box 171">
              <controlPr defaultSize="0" autoFill="0" autoLine="0" autoPict="0">
                <anchor moveWithCells="1" sizeWithCells="1">
                  <from>
                    <xdr:col>11</xdr:col>
                    <xdr:colOff>381000</xdr:colOff>
                    <xdr:row>38</xdr:row>
                    <xdr:rowOff>45720</xdr:rowOff>
                  </from>
                  <to>
                    <xdr:col>12</xdr:col>
                    <xdr:colOff>76200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44</xdr:row>
                    <xdr:rowOff>60960</xdr:rowOff>
                  </from>
                  <to>
                    <xdr:col>11</xdr:col>
                    <xdr:colOff>312420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 sizeWithCells="1">
                  <from>
                    <xdr:col>12</xdr:col>
                    <xdr:colOff>137160</xdr:colOff>
                    <xdr:row>45</xdr:row>
                    <xdr:rowOff>38100</xdr:rowOff>
                  </from>
                  <to>
                    <xdr:col>12</xdr:col>
                    <xdr:colOff>312420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23</xdr:row>
                    <xdr:rowOff>30480</xdr:rowOff>
                  </from>
                  <to>
                    <xdr:col>11</xdr:col>
                    <xdr:colOff>320040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24</xdr:row>
                    <xdr:rowOff>15240</xdr:rowOff>
                  </from>
                  <to>
                    <xdr:col>11</xdr:col>
                    <xdr:colOff>320040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27</xdr:row>
                    <xdr:rowOff>7620</xdr:rowOff>
                  </from>
                  <to>
                    <xdr:col>11</xdr:col>
                    <xdr:colOff>320040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25</xdr:row>
                    <xdr:rowOff>22860</xdr:rowOff>
                  </from>
                  <to>
                    <xdr:col>11</xdr:col>
                    <xdr:colOff>320040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26</xdr:row>
                    <xdr:rowOff>38100</xdr:rowOff>
                  </from>
                  <to>
                    <xdr:col>11</xdr:col>
                    <xdr:colOff>320040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30</xdr:row>
                    <xdr:rowOff>15240</xdr:rowOff>
                  </from>
                  <to>
                    <xdr:col>11</xdr:col>
                    <xdr:colOff>327660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1" name="Check Box 14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22</xdr:row>
                    <xdr:rowOff>30480</xdr:rowOff>
                  </from>
                  <to>
                    <xdr:col>11</xdr:col>
                    <xdr:colOff>327660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2" name="Check Box 20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22</xdr:row>
                    <xdr:rowOff>38100</xdr:rowOff>
                  </from>
                  <to>
                    <xdr:col>12</xdr:col>
                    <xdr:colOff>335280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3" name="Check Box 13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21</xdr:row>
                    <xdr:rowOff>45720</xdr:rowOff>
                  </from>
                  <to>
                    <xdr:col>11</xdr:col>
                    <xdr:colOff>327660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4" name="Check Box 19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21</xdr:row>
                    <xdr:rowOff>60960</xdr:rowOff>
                  </from>
                  <to>
                    <xdr:col>12</xdr:col>
                    <xdr:colOff>335280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5" name="Check Box 11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19</xdr:row>
                    <xdr:rowOff>45720</xdr:rowOff>
                  </from>
                  <to>
                    <xdr:col>11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6" name="Check Box 18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19</xdr:row>
                    <xdr:rowOff>45720</xdr:rowOff>
                  </from>
                  <to>
                    <xdr:col>12</xdr:col>
                    <xdr:colOff>335280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7" name="Check Box 12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20</xdr:row>
                    <xdr:rowOff>22860</xdr:rowOff>
                  </from>
                  <to>
                    <xdr:col>11</xdr:col>
                    <xdr:colOff>327660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8" name="Check Box 17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20</xdr:row>
                    <xdr:rowOff>30480</xdr:rowOff>
                  </from>
                  <to>
                    <xdr:col>12</xdr:col>
                    <xdr:colOff>335280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9" name="Check Box 10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18</xdr:row>
                    <xdr:rowOff>45720</xdr:rowOff>
                  </from>
                  <to>
                    <xdr:col>11</xdr:col>
                    <xdr:colOff>327660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0" name="Check Box 16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18</xdr:row>
                    <xdr:rowOff>30480</xdr:rowOff>
                  </from>
                  <to>
                    <xdr:col>12</xdr:col>
                    <xdr:colOff>335280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1" name="Check Box 9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17</xdr:row>
                    <xdr:rowOff>76200</xdr:rowOff>
                  </from>
                  <to>
                    <xdr:col>11</xdr:col>
                    <xdr:colOff>327660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2" name="Check Box 15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17</xdr:row>
                    <xdr:rowOff>60960</xdr:rowOff>
                  </from>
                  <to>
                    <xdr:col>12</xdr:col>
                    <xdr:colOff>335280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3" name="Check Box 7">
              <controlPr defaultSize="0" autoFill="0" autoLine="0" autoPict="0">
                <anchor moveWithCells="1" sizeWithCells="1">
                  <from>
                    <xdr:col>11</xdr:col>
                    <xdr:colOff>365760</xdr:colOff>
                    <xdr:row>15</xdr:row>
                    <xdr:rowOff>68580</xdr:rowOff>
                  </from>
                  <to>
                    <xdr:col>12</xdr:col>
                    <xdr:colOff>68580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4" name="Check Box 8">
              <controlPr defaultSize="0" autoFill="0" autoLine="0" autoPict="0">
                <anchor moveWithCells="1" sizeWithCells="1">
                  <from>
                    <xdr:col>11</xdr:col>
                    <xdr:colOff>365760</xdr:colOff>
                    <xdr:row>15</xdr:row>
                    <xdr:rowOff>312420</xdr:rowOff>
                  </from>
                  <to>
                    <xdr:col>12</xdr:col>
                    <xdr:colOff>68580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5" name="Check Box 2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6" name="Check Box 3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13</xdr:row>
                    <xdr:rowOff>45720</xdr:rowOff>
                  </from>
                  <to>
                    <xdr:col>11</xdr:col>
                    <xdr:colOff>327660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7" name="Check Box 4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14</xdr:row>
                    <xdr:rowOff>99060</xdr:rowOff>
                  </from>
                  <to>
                    <xdr:col>11</xdr:col>
                    <xdr:colOff>327660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8" name="Check Box 5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14</xdr:row>
                    <xdr:rowOff>91440</xdr:rowOff>
                  </from>
                  <to>
                    <xdr:col>12</xdr:col>
                    <xdr:colOff>335280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9" name="Check Box 267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49</xdr:row>
                    <xdr:rowOff>68580</xdr:rowOff>
                  </from>
                  <to>
                    <xdr:col>11</xdr:col>
                    <xdr:colOff>342900</xdr:colOff>
                    <xdr:row>49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50" name="Check Box 269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33</xdr:row>
                    <xdr:rowOff>30480</xdr:rowOff>
                  </from>
                  <to>
                    <xdr:col>11</xdr:col>
                    <xdr:colOff>335280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1" name="Check Box 271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54</xdr:row>
                    <xdr:rowOff>45720</xdr:rowOff>
                  </from>
                  <to>
                    <xdr:col>11</xdr:col>
                    <xdr:colOff>342900</xdr:colOff>
                    <xdr:row>54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2" name="Check Box 272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58</xdr:row>
                    <xdr:rowOff>60960</xdr:rowOff>
                  </from>
                  <to>
                    <xdr:col>11</xdr:col>
                    <xdr:colOff>342900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3" name="Check Box 273">
              <controlPr defaultSize="0" autoFill="0" autoLine="0" autoPict="0">
                <anchor moveWithCells="1" sizeWithCells="1">
                  <from>
                    <xdr:col>11</xdr:col>
                    <xdr:colOff>381000</xdr:colOff>
                    <xdr:row>37</xdr:row>
                    <xdr:rowOff>45720</xdr:rowOff>
                  </from>
                  <to>
                    <xdr:col>12</xdr:col>
                    <xdr:colOff>76200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54" name="Check Box 274">
              <controlPr defaultSize="0" autoFill="0" autoLine="0" autoPict="0">
                <anchor moveWithCells="1" sizeWithCells="1">
                  <from>
                    <xdr:col>11</xdr:col>
                    <xdr:colOff>381000</xdr:colOff>
                    <xdr:row>39</xdr:row>
                    <xdr:rowOff>45720</xdr:rowOff>
                  </from>
                  <to>
                    <xdr:col>12</xdr:col>
                    <xdr:colOff>76200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5" name="Check Box 275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48</xdr:row>
                    <xdr:rowOff>68580</xdr:rowOff>
                  </from>
                  <to>
                    <xdr:col>11</xdr:col>
                    <xdr:colOff>342900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6" name="Check Box 276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53</xdr:row>
                    <xdr:rowOff>45720</xdr:rowOff>
                  </from>
                  <to>
                    <xdr:col>11</xdr:col>
                    <xdr:colOff>342900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7" name="Check Box 280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29</xdr:row>
                    <xdr:rowOff>22860</xdr:rowOff>
                  </from>
                  <to>
                    <xdr:col>11</xdr:col>
                    <xdr:colOff>320040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8" name="Check Box 287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59</xdr:row>
                    <xdr:rowOff>60960</xdr:rowOff>
                  </from>
                  <to>
                    <xdr:col>11</xdr:col>
                    <xdr:colOff>342900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9" name="Check Box 288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59</xdr:row>
                    <xdr:rowOff>60960</xdr:rowOff>
                  </from>
                  <to>
                    <xdr:col>11</xdr:col>
                    <xdr:colOff>342900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0" name="Check Box 289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28</xdr:row>
                    <xdr:rowOff>22860</xdr:rowOff>
                  </from>
                  <to>
                    <xdr:col>11</xdr:col>
                    <xdr:colOff>320040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1" name="Check Box 290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52</xdr:row>
                    <xdr:rowOff>45720</xdr:rowOff>
                  </from>
                  <to>
                    <xdr:col>11</xdr:col>
                    <xdr:colOff>342900</xdr:colOff>
                    <xdr:row>52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ANKETA</vt:lpstr>
      <vt:lpstr>ANKETA!Print_Area</vt:lpstr>
      <vt:lpstr>ANKETA!Print_Titles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2021-03-08T08:02:30Z</cp:lastPrinted>
  <dcterms:created xsi:type="dcterms:W3CDTF">2013-04-29T19:26:01Z</dcterms:created>
  <dcterms:modified xsi:type="dcterms:W3CDTF">2021-03-08T08:02:36Z</dcterms:modified>
</cp:coreProperties>
</file>